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zmiana WPF październik 2016\"/>
    </mc:Choice>
  </mc:AlternateContent>
  <bookViews>
    <workbookView xWindow="0" yWindow="0" windowWidth="19200" windowHeight="10185"/>
  </bookViews>
  <sheets>
    <sheet name="Zal.1" sheetId="12" r:id="rId1"/>
    <sheet name="Zał.2 " sheetId="1" r:id="rId2"/>
  </sheets>
  <externalReferences>
    <externalReference r:id="rId3"/>
  </externalReferences>
  <definedNames>
    <definedName name="_xlnm.Print_Area" localSheetId="0">Zal.1!$A$1:$V$104</definedName>
    <definedName name="_xlnm.Print_Area" localSheetId="1">'Zał.2 '!$A$1:$K$34</definedName>
    <definedName name="_xlnm.Print_Titles" localSheetId="0">Zal.1!$A:$B,Zal.1!$2:$3</definedName>
    <definedName name="_xlnm.Print_Titles" localSheetId="1">'Zał.2 '!$3:$4</definedName>
    <definedName name="Z_9360F695_77C0_4418_82C5_829A762C44E9_.wvu.Cols" localSheetId="0" hidden="1">Zal.1!#REF!,Zal.1!#REF!</definedName>
    <definedName name="Z_9360F695_77C0_4418_82C5_829A762C44E9_.wvu.FilterData" localSheetId="0" hidden="1">Zal.1!#REF!</definedName>
    <definedName name="Z_9360F695_77C0_4418_82C5_829A762C44E9_.wvu.PrintArea" localSheetId="0" hidden="1">Zal.1!$A$2:$V$104</definedName>
    <definedName name="Z_9360F695_77C0_4418_82C5_829A762C44E9_.wvu.PrintTitles" localSheetId="0" hidden="1">Zal.1!$A:$B,Zal.1!$2:$3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8" i="12" l="1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C108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C107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V51" i="12"/>
  <c r="U51" i="12"/>
  <c r="T51" i="12"/>
  <c r="T111" i="12" s="1"/>
  <c r="S51" i="12"/>
  <c r="S55" i="12" s="1"/>
  <c r="R51" i="12"/>
  <c r="Q51" i="12"/>
  <c r="P51" i="12"/>
  <c r="P111" i="12" s="1"/>
  <c r="O51" i="12"/>
  <c r="N51" i="12"/>
  <c r="M51" i="12"/>
  <c r="L51" i="12"/>
  <c r="L111" i="12" s="1"/>
  <c r="K51" i="12"/>
  <c r="K55" i="12" s="1"/>
  <c r="J51" i="12"/>
  <c r="I51" i="12"/>
  <c r="H51" i="12"/>
  <c r="H111" i="12" s="1"/>
  <c r="G51" i="12"/>
  <c r="F51" i="12"/>
  <c r="E51" i="12"/>
  <c r="D51" i="12"/>
  <c r="C51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V46" i="12"/>
  <c r="V110" i="12" s="1"/>
  <c r="U46" i="12"/>
  <c r="U110" i="12" s="1"/>
  <c r="T46" i="12"/>
  <c r="T110" i="12" s="1"/>
  <c r="S46" i="12"/>
  <c r="S110" i="12" s="1"/>
  <c r="R46" i="12"/>
  <c r="R110" i="12" s="1"/>
  <c r="Q46" i="12"/>
  <c r="Q110" i="12" s="1"/>
  <c r="P46" i="12"/>
  <c r="P110" i="12" s="1"/>
  <c r="O46" i="12"/>
  <c r="O110" i="12" s="1"/>
  <c r="N46" i="12"/>
  <c r="N110" i="12" s="1"/>
  <c r="M46" i="12"/>
  <c r="M110" i="12" s="1"/>
  <c r="L46" i="12"/>
  <c r="L110" i="12" s="1"/>
  <c r="K46" i="12"/>
  <c r="K110" i="12" s="1"/>
  <c r="J46" i="12"/>
  <c r="J110" i="12" s="1"/>
  <c r="I46" i="12"/>
  <c r="I110" i="12" s="1"/>
  <c r="H46" i="12"/>
  <c r="H110" i="12" s="1"/>
  <c r="G46" i="12"/>
  <c r="G110" i="12" s="1"/>
  <c r="F46" i="12"/>
  <c r="E46" i="12"/>
  <c r="D46" i="12"/>
  <c r="C46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G3" i="12"/>
  <c r="F3" i="12" s="1"/>
  <c r="E3" i="12" s="1"/>
  <c r="D3" i="12" s="1"/>
  <c r="C3" i="12" s="1"/>
  <c r="G2" i="12"/>
  <c r="H3" i="12" l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M56" i="12"/>
  <c r="U56" i="12"/>
  <c r="P55" i="12"/>
  <c r="J112" i="12"/>
  <c r="N112" i="12"/>
  <c r="R112" i="12"/>
  <c r="V112" i="12"/>
  <c r="H56" i="12"/>
  <c r="V55" i="12"/>
  <c r="I56" i="12"/>
  <c r="R56" i="12"/>
  <c r="G111" i="12"/>
  <c r="G112" i="12"/>
  <c r="G56" i="12"/>
  <c r="K111" i="12"/>
  <c r="K112" i="12"/>
  <c r="K56" i="12"/>
  <c r="O111" i="12"/>
  <c r="O112" i="12"/>
  <c r="O56" i="12"/>
  <c r="S111" i="12"/>
  <c r="S112" i="12"/>
  <c r="S56" i="12"/>
  <c r="G55" i="12"/>
  <c r="L55" i="12"/>
  <c r="R55" i="12"/>
  <c r="N56" i="12"/>
  <c r="T56" i="12"/>
  <c r="N111" i="12"/>
  <c r="P112" i="12"/>
  <c r="H55" i="12"/>
  <c r="N55" i="12"/>
  <c r="J56" i="12"/>
  <c r="P56" i="12"/>
  <c r="R111" i="12"/>
  <c r="T112" i="12"/>
  <c r="I112" i="12"/>
  <c r="I111" i="12"/>
  <c r="I55" i="12"/>
  <c r="M112" i="12"/>
  <c r="M111" i="12"/>
  <c r="M55" i="12"/>
  <c r="Q112" i="12"/>
  <c r="Q111" i="12"/>
  <c r="Q55" i="12"/>
  <c r="U112" i="12"/>
  <c r="U111" i="12"/>
  <c r="U55" i="12"/>
  <c r="J55" i="12"/>
  <c r="O55" i="12"/>
  <c r="T55" i="12"/>
  <c r="L56" i="12"/>
  <c r="Q56" i="12"/>
  <c r="V56" i="12"/>
  <c r="V111" i="12"/>
  <c r="H112" i="12"/>
  <c r="J111" i="12"/>
  <c r="L112" i="12"/>
  <c r="G13" i="1" l="1"/>
  <c r="H13" i="1"/>
  <c r="I13" i="1"/>
  <c r="J13" i="1"/>
  <c r="F13" i="1"/>
  <c r="K15" i="1"/>
  <c r="G10" i="1" l="1"/>
  <c r="H10" i="1"/>
  <c r="I10" i="1"/>
  <c r="J10" i="1"/>
  <c r="F10" i="1"/>
  <c r="K12" i="1"/>
  <c r="G21" i="1" l="1"/>
  <c r="G19" i="1" s="1"/>
  <c r="H21" i="1"/>
  <c r="I21" i="1"/>
  <c r="I19" i="1" s="1"/>
  <c r="J21" i="1"/>
  <c r="K30" i="1"/>
  <c r="K26" i="1"/>
  <c r="J19" i="1" l="1"/>
  <c r="H19" i="1"/>
  <c r="K20" i="1"/>
  <c r="F21" i="1" l="1"/>
  <c r="K31" i="1"/>
  <c r="K28" i="1" l="1"/>
  <c r="K25" i="1" l="1"/>
  <c r="K24" i="1" l="1"/>
  <c r="K32" i="1"/>
  <c r="K29" i="1"/>
  <c r="K33" i="1" l="1"/>
  <c r="K23" i="1"/>
  <c r="K27" i="1"/>
  <c r="K22" i="1"/>
  <c r="K18" i="1"/>
  <c r="K17" i="1"/>
  <c r="J16" i="1"/>
  <c r="I16" i="1"/>
  <c r="H16" i="1"/>
  <c r="G16" i="1"/>
  <c r="F16" i="1"/>
  <c r="K14" i="1"/>
  <c r="K13" i="1" s="1"/>
  <c r="J8" i="1"/>
  <c r="I8" i="1"/>
  <c r="H8" i="1"/>
  <c r="G8" i="1"/>
  <c r="K11" i="1"/>
  <c r="K10" i="1" s="1"/>
  <c r="K21" i="1" l="1"/>
  <c r="K19" i="1" s="1"/>
  <c r="I7" i="1"/>
  <c r="I9" i="1"/>
  <c r="I6" i="1" s="1"/>
  <c r="G7" i="1"/>
  <c r="G9" i="1"/>
  <c r="G6" i="1" s="1"/>
  <c r="H9" i="1"/>
  <c r="H6" i="1" s="1"/>
  <c r="H7" i="1"/>
  <c r="J9" i="1"/>
  <c r="J6" i="1" s="1"/>
  <c r="J7" i="1"/>
  <c r="F19" i="1"/>
  <c r="F9" i="1"/>
  <c r="K16" i="1"/>
  <c r="F8" i="1"/>
  <c r="F7" i="1"/>
  <c r="K8" i="1" l="1"/>
  <c r="K7" i="1"/>
  <c r="K9" i="1"/>
  <c r="K6" i="1" s="1"/>
  <c r="F6" i="1"/>
</calcChain>
</file>

<file path=xl/sharedStrings.xml><?xml version="1.0" encoding="utf-8"?>
<sst xmlns="http://schemas.openxmlformats.org/spreadsheetml/2006/main" count="478" uniqueCount="263">
  <si>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</si>
  <si>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</si>
  <si>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</si>
  <si>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</si>
  <si>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</si>
  <si>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</si>
  <si>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</si>
  <si>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</si>
  <si>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</si>
  <si>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</si>
  <si>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</si>
  <si>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</si>
  <si>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</si>
  <si>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</si>
  <si>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</si>
  <si>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</si>
  <si>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2013 r., poz. 885 z późn. zm.), z tego:</t>
  </si>
  <si>
    <t>1.1.1.</t>
  </si>
  <si>
    <t>Starostwo Powiatowe</t>
  </si>
  <si>
    <t>Uczymy się zawodu w Europie - II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</si>
  <si>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</si>
  <si>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</si>
  <si>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</si>
  <si>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</si>
  <si>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</si>
  <si>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</si>
  <si>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</si>
  <si>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</si>
  <si>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</si>
  <si>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</si>
  <si>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</si>
  <si>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</si>
  <si>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</si>
  <si>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</si>
  <si>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Modernizacja drogi powiatowej Nr 2711W w Gliniance i Rzakcie</t>
  </si>
  <si>
    <t>Przebudowa i rozbudowa budynku w Otwocku przy ul. Komunardów wraz z towarzyszącą infrastrukturą na potrzeby siedziby Starostwa i jednostek organizacyjnych powiatu</t>
  </si>
  <si>
    <t>Termomodernizacja budynku Domu Pomocy Społecznej w Otwocku przy ul. Konopnickiej 17 - docieplenie ścian i stropu dachu wraz z częściową wymianą stolarki drzwiowej</t>
  </si>
  <si>
    <t>Dom Pomocy Społecznej                                     w Otwocku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</si>
  <si>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</si>
  <si>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</si>
  <si>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</si>
  <si>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</si>
  <si>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ciągu dróg powiatowych Nr 2772W - ul. Kard. Wyszyńskiego w Karczewie i Nr 2762W - ul. Kraszewskiego w Otwocku</t>
  </si>
  <si>
    <t>Przebudowa drogi powiatowej Nr 2245 w m. Dobrzyniec, gmina Kołbiel</t>
  </si>
  <si>
    <t>Przebudowa mostu w ciągu drogi powiatowej Nr 2735W Warszówka-Warszawice w Warszawicach</t>
  </si>
  <si>
    <t>Rozbudowa i modernizacja budynku przy ul. Ujejskiego 14</t>
  </si>
  <si>
    <t>1.1.1.1</t>
  </si>
  <si>
    <t>1.1.2.1</t>
  </si>
  <si>
    <t>Domy dla Dzieci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</si>
  <si>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</si>
  <si>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</si>
  <si>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</si>
  <si>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</si>
  <si>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</si>
  <si>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</si>
  <si>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</si>
  <si>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</si>
  <si>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</si>
  <si>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</si>
  <si>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</si>
  <si>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</si>
  <si>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</si>
  <si>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</si>
  <si>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</si>
  <si>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</si>
  <si>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</si>
  <si>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</si>
  <si>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</si>
  <si>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</si>
  <si>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</si>
  <si>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</si>
  <si>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</si>
  <si>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</si>
  <si>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</si>
  <si>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</si>
  <si>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</si>
  <si>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</si>
  <si>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</si>
  <si>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</si>
  <si>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</si>
  <si>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</si>
  <si>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</si>
  <si>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</si>
  <si>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</si>
  <si>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</si>
  <si>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</si>
  <si>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</si>
  <si>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</si>
  <si>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</si>
  <si>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</si>
  <si>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</si>
  <si>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</si>
  <si>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</si>
  <si>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</si>
  <si>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</si>
  <si>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</si>
  <si>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</si>
  <si>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</si>
  <si>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</si>
  <si>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</si>
  <si>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</si>
  <si>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</si>
  <si>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</si>
  <si>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</si>
  <si>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</si>
  <si>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</si>
  <si>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</si>
  <si>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</si>
  <si>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</si>
  <si>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</si>
  <si>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</si>
  <si>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</si>
  <si>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</si>
  <si>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</si>
  <si>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</si>
  <si>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</si>
  <si>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</si>
  <si>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</si>
  <si>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</si>
  <si>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</si>
  <si>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</si>
  <si>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</si>
  <si>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</si>
  <si>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</si>
  <si>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</si>
  <si>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</si>
  <si>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</si>
  <si>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</si>
  <si>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</si>
  <si>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</si>
  <si>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</si>
  <si>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</si>
  <si>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</si>
  <si>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</si>
  <si>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</si>
  <si>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</si>
  <si>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</si>
  <si>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</si>
  <si>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</si>
  <si>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</si>
  <si>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</si>
  <si>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</si>
  <si>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</si>
  <si>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</si>
  <si>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</si>
  <si>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</si>
  <si>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</si>
  <si>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</si>
  <si>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</si>
  <si>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</si>
  <si>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</si>
  <si>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</si>
  <si>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</si>
  <si>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</si>
  <si>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</si>
  <si>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</si>
  <si>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</si>
  <si>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</si>
  <si>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</si>
  <si>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</si>
  <si>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</si>
  <si>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</si>
  <si>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</si>
  <si>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</si>
  <si>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</si>
  <si>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</si>
  <si>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</si>
  <si>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</si>
  <si>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</si>
  <si>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</si>
  <si>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</si>
  <si>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</si>
  <si>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</si>
  <si>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</si>
  <si>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</si>
  <si>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</si>
  <si>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</si>
  <si>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</si>
  <si>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</si>
  <si>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</si>
  <si>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</si>
  <si>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</si>
  <si>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</si>
  <si>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</si>
  <si>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</si>
  <si>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</si>
  <si>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</si>
  <si>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</si>
  <si>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</si>
  <si>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</si>
  <si>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</si>
  <si>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</si>
  <si>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</si>
  <si>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</si>
  <si>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</si>
  <si>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</si>
  <si>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</si>
  <si>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</si>
  <si>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</si>
  <si>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</si>
  <si>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</si>
  <si>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</si>
  <si>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</si>
  <si>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</si>
  <si>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</si>
  <si>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</si>
  <si>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</si>
  <si>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</si>
  <si>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</si>
  <si>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</si>
  <si>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</si>
  <si>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</si>
  <si>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</si>
  <si>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</si>
  <si>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</si>
  <si>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</si>
  <si>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</si>
  <si>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</si>
  <si>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</si>
  <si>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</si>
  <si>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</si>
  <si>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</si>
  <si>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</si>
  <si>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</si>
  <si>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</si>
  <si>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</si>
  <si>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</si>
  <si>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</si>
  <si>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</si>
  <si>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</si>
  <si>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</si>
  <si>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</si>
  <si>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</si>
  <si>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</si>
  <si>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</si>
  <si>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</si>
  <si>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</si>
  <si>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</si>
  <si>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</si>
  <si>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</si>
  <si>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</si>
  <si>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</si>
  <si>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</si>
  <si>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</si>
  <si>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</si>
  <si>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</si>
  <si>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</si>
  <si>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</si>
  <si>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</si>
  <si>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</si>
  <si>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</si>
  <si>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</si>
  <si>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</si>
  <si>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</si>
  <si>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</si>
  <si>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</si>
  <si>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</si>
  <si>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</si>
  <si>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1.1.1.2</t>
  </si>
  <si>
    <t>Europejczycy z Powiatu Otwockiego</t>
  </si>
  <si>
    <t>Przebudowa drogi powiatowej Nr 2743W Człekówka-Kąty-Antoninek w Człekówce i Chrośnie</t>
  </si>
  <si>
    <t>1.1.2.2</t>
  </si>
  <si>
    <t>Budowa zintegrowanego systemu ostrzegania i alarmowania ludności przed zjawiskami katastrofalnymi i zagrożeniami dla Powiatu Otwockiego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</si>
</sst>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8" fillId="0" borderId="0"/>
  </cellStyleXfs>
  <cellXfs count="12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4" fillId="0" borderId="0" xfId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Border="1" applyAlignment="1"/>
    <xf numFmtId="0" fontId="6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9" fillId="0" borderId="0" xfId="3" applyProtection="1"/>
    <xf numFmtId="0" fontId="10" fillId="0" borderId="0" xfId="3" applyFont="1" applyProtection="1"/>
    <xf numFmtId="0" fontId="10" fillId="0" borderId="0" xfId="3" applyFont="1" applyBorder="1" applyAlignment="1" applyProtection="1"/>
    <xf numFmtId="0" fontId="12" fillId="0" borderId="0" xfId="3" applyFont="1" applyBorder="1" applyAlignment="1" applyProtection="1">
      <alignment horizontal="left" vertical="center"/>
    </xf>
    <xf numFmtId="0" fontId="12" fillId="0" borderId="2" xfId="3" applyFont="1" applyBorder="1" applyAlignment="1" applyProtection="1">
      <alignment vertical="center" wrapText="1"/>
    </xf>
    <xf numFmtId="49" fontId="11" fillId="4" borderId="3" xfId="4" applyNumberFormat="1" applyFont="1" applyFill="1" applyBorder="1" applyAlignment="1" applyProtection="1">
      <alignment horizontal="center" vertical="center"/>
    </xf>
    <xf numFmtId="1" fontId="11" fillId="4" borderId="3" xfId="4" applyNumberFormat="1" applyFont="1" applyFill="1" applyBorder="1" applyAlignment="1" applyProtection="1">
      <alignment horizontal="center" vertical="center" wrapText="1"/>
    </xf>
    <xf numFmtId="1" fontId="11" fillId="4" borderId="5" xfId="4" applyNumberFormat="1" applyFont="1" applyFill="1" applyBorder="1" applyAlignment="1" applyProtection="1">
      <alignment horizontal="center" vertical="center" wrapText="1"/>
    </xf>
    <xf numFmtId="1" fontId="11" fillId="4" borderId="6" xfId="4" applyNumberFormat="1" applyFont="1" applyFill="1" applyBorder="1" applyAlignment="1" applyProtection="1">
      <alignment horizontal="center" vertical="center" wrapText="1"/>
    </xf>
    <xf numFmtId="1" fontId="11" fillId="4" borderId="7" xfId="4" applyNumberFormat="1" applyFont="1" applyFill="1" applyBorder="1" applyAlignment="1" applyProtection="1">
      <alignment horizontal="center" vertical="center"/>
    </xf>
    <xf numFmtId="1" fontId="11" fillId="4" borderId="5" xfId="4" applyNumberFormat="1" applyFont="1" applyFill="1" applyBorder="1" applyAlignment="1" applyProtection="1">
      <alignment horizontal="center" vertical="center"/>
    </xf>
    <xf numFmtId="0" fontId="14" fillId="0" borderId="8" xfId="3" applyFont="1" applyBorder="1" applyAlignment="1" applyProtection="1">
      <alignment horizontal="left" vertical="center"/>
    </xf>
    <xf numFmtId="0" fontId="14" fillId="0" borderId="9" xfId="3" applyFont="1" applyBorder="1" applyAlignment="1" applyProtection="1">
      <alignment vertical="center" wrapText="1"/>
    </xf>
    <xf numFmtId="164" fontId="15" fillId="3" borderId="8" xfId="4" applyNumberFormat="1" applyFont="1" applyFill="1" applyBorder="1" applyAlignment="1" applyProtection="1">
      <alignment vertical="center" shrinkToFit="1"/>
    </xf>
    <xf numFmtId="164" fontId="15" fillId="3" borderId="10" xfId="4" applyNumberFormat="1" applyFont="1" applyFill="1" applyBorder="1" applyAlignment="1" applyProtection="1">
      <alignment vertical="center" shrinkToFit="1"/>
    </xf>
    <xf numFmtId="164" fontId="15" fillId="3" borderId="11" xfId="4" applyNumberFormat="1" applyFont="1" applyFill="1" applyBorder="1" applyAlignment="1" applyProtection="1">
      <alignment vertical="center" shrinkToFit="1"/>
    </xf>
    <xf numFmtId="164" fontId="15" fillId="0" borderId="12" xfId="4" applyNumberFormat="1" applyFont="1" applyFill="1" applyBorder="1" applyAlignment="1" applyProtection="1">
      <alignment vertical="center" shrinkToFit="1"/>
    </xf>
    <xf numFmtId="164" fontId="15" fillId="0" borderId="10" xfId="4" applyNumberFormat="1" applyFont="1" applyFill="1" applyBorder="1" applyAlignment="1" applyProtection="1">
      <alignment vertical="center" shrinkToFit="1"/>
    </xf>
    <xf numFmtId="0" fontId="16" fillId="0" borderId="8" xfId="3" applyFont="1" applyBorder="1" applyAlignment="1" applyProtection="1">
      <alignment horizontal="left" vertical="center"/>
    </xf>
    <xf numFmtId="0" fontId="16" fillId="0" borderId="13" xfId="3" applyFont="1" applyBorder="1" applyAlignment="1" applyProtection="1">
      <alignment vertical="center" wrapText="1"/>
    </xf>
    <xf numFmtId="164" fontId="17" fillId="3" borderId="8" xfId="4" applyNumberFormat="1" applyFont="1" applyFill="1" applyBorder="1" applyAlignment="1" applyProtection="1">
      <alignment vertical="center" shrinkToFit="1"/>
    </xf>
    <xf numFmtId="164" fontId="17" fillId="3" borderId="10" xfId="4" applyNumberFormat="1" applyFont="1" applyFill="1" applyBorder="1" applyAlignment="1" applyProtection="1">
      <alignment vertical="center" shrinkToFit="1"/>
    </xf>
    <xf numFmtId="164" fontId="17" fillId="3" borderId="11" xfId="4" applyNumberFormat="1" applyFont="1" applyFill="1" applyBorder="1" applyAlignment="1" applyProtection="1">
      <alignment vertical="center" shrinkToFit="1"/>
    </xf>
    <xf numFmtId="164" fontId="17" fillId="0" borderId="12" xfId="4" applyNumberFormat="1" applyFont="1" applyFill="1" applyBorder="1" applyAlignment="1" applyProtection="1">
      <alignment vertical="center" shrinkToFit="1"/>
    </xf>
    <xf numFmtId="164" fontId="17" fillId="0" borderId="10" xfId="4" applyNumberFormat="1" applyFont="1" applyFill="1" applyBorder="1" applyAlignment="1" applyProtection="1">
      <alignment vertical="center" shrinkToFit="1"/>
    </xf>
    <xf numFmtId="164" fontId="15" fillId="3" borderId="8" xfId="4" applyNumberFormat="1" applyFont="1" applyFill="1" applyBorder="1" applyAlignment="1" applyProtection="1">
      <alignment horizontal="center" vertical="center" shrinkToFit="1"/>
    </xf>
    <xf numFmtId="164" fontId="15" fillId="3" borderId="10" xfId="4" applyNumberFormat="1" applyFont="1" applyFill="1" applyBorder="1" applyAlignment="1" applyProtection="1">
      <alignment horizontal="center" vertical="center" shrinkToFit="1"/>
    </xf>
    <xf numFmtId="164" fontId="15" fillId="3" borderId="11" xfId="4" applyNumberFormat="1" applyFont="1" applyFill="1" applyBorder="1" applyAlignment="1" applyProtection="1">
      <alignment horizontal="center" vertical="center" shrinkToFit="1"/>
    </xf>
    <xf numFmtId="164" fontId="15" fillId="0" borderId="12" xfId="4" applyNumberFormat="1" applyFont="1" applyFill="1" applyBorder="1" applyAlignment="1" applyProtection="1">
      <alignment horizontal="center" vertical="center" shrinkToFit="1"/>
    </xf>
    <xf numFmtId="164" fontId="15" fillId="0" borderId="10" xfId="4" applyNumberFormat="1" applyFont="1" applyFill="1" applyBorder="1" applyAlignment="1" applyProtection="1">
      <alignment horizontal="center" vertical="center" shrinkToFit="1"/>
    </xf>
    <xf numFmtId="165" fontId="17" fillId="3" borderId="8" xfId="4" applyNumberFormat="1" applyFont="1" applyFill="1" applyBorder="1" applyAlignment="1" applyProtection="1">
      <alignment vertical="center" shrinkToFit="1"/>
    </xf>
    <xf numFmtId="165" fontId="17" fillId="3" borderId="10" xfId="4" applyNumberFormat="1" applyFont="1" applyFill="1" applyBorder="1" applyAlignment="1" applyProtection="1">
      <alignment vertical="center" shrinkToFit="1"/>
    </xf>
    <xf numFmtId="165" fontId="17" fillId="3" borderId="11" xfId="4" applyNumberFormat="1" applyFont="1" applyFill="1" applyBorder="1" applyAlignment="1" applyProtection="1">
      <alignment vertical="center" shrinkToFit="1"/>
    </xf>
    <xf numFmtId="165" fontId="17" fillId="0" borderId="12" xfId="4" applyNumberFormat="1" applyFont="1" applyFill="1" applyBorder="1" applyAlignment="1" applyProtection="1">
      <alignment vertical="center" shrinkToFit="1"/>
    </xf>
    <xf numFmtId="165" fontId="17" fillId="0" borderId="10" xfId="4" applyNumberFormat="1" applyFont="1" applyFill="1" applyBorder="1" applyAlignment="1" applyProtection="1">
      <alignment vertical="center" shrinkToFit="1"/>
    </xf>
    <xf numFmtId="0" fontId="16" fillId="0" borderId="9" xfId="3" applyFont="1" applyBorder="1" applyAlignment="1" applyProtection="1">
      <alignment vertical="center" wrapText="1"/>
    </xf>
    <xf numFmtId="0" fontId="17" fillId="0" borderId="12" xfId="4" applyNumberFormat="1" applyFont="1" applyFill="1" applyBorder="1" applyAlignment="1" applyProtection="1">
      <alignment horizontal="center" vertical="center" shrinkToFit="1"/>
    </xf>
    <xf numFmtId="0" fontId="17" fillId="0" borderId="10" xfId="4" applyNumberFormat="1" applyFont="1" applyFill="1" applyBorder="1" applyAlignment="1" applyProtection="1">
      <alignment horizontal="center" vertical="center" shrinkToFit="1"/>
    </xf>
    <xf numFmtId="0" fontId="16" fillId="0" borderId="13" xfId="3" quotePrefix="1" applyFont="1" applyBorder="1" applyAlignment="1" applyProtection="1">
      <alignment vertical="center" wrapText="1"/>
    </xf>
    <xf numFmtId="0" fontId="16" fillId="0" borderId="29" xfId="3" applyFont="1" applyBorder="1" applyAlignment="1" applyProtection="1">
      <alignment horizontal="left" vertical="center"/>
    </xf>
    <xf numFmtId="0" fontId="16" fillId="0" borderId="30" xfId="3" applyFont="1" applyBorder="1" applyAlignment="1" applyProtection="1">
      <alignment vertical="center" wrapText="1"/>
    </xf>
    <xf numFmtId="164" fontId="17" fillId="3" borderId="29" xfId="4" applyNumberFormat="1" applyFont="1" applyFill="1" applyBorder="1" applyAlignment="1" applyProtection="1">
      <alignment vertical="center" shrinkToFit="1"/>
    </xf>
    <xf numFmtId="164" fontId="17" fillId="3" borderId="31" xfId="4" applyNumberFormat="1" applyFont="1" applyFill="1" applyBorder="1" applyAlignment="1" applyProtection="1">
      <alignment vertical="center" shrinkToFit="1"/>
    </xf>
    <xf numFmtId="164" fontId="17" fillId="3" borderId="32" xfId="4" applyNumberFormat="1" applyFont="1" applyFill="1" applyBorder="1" applyAlignment="1" applyProtection="1">
      <alignment vertical="center" shrinkToFit="1"/>
    </xf>
    <xf numFmtId="164" fontId="17" fillId="0" borderId="33" xfId="4" applyNumberFormat="1" applyFont="1" applyFill="1" applyBorder="1" applyAlignment="1" applyProtection="1">
      <alignment vertical="center" shrinkToFit="1"/>
    </xf>
    <xf numFmtId="164" fontId="17" fillId="0" borderId="31" xfId="4" applyNumberFormat="1" applyFont="1" applyFill="1" applyBorder="1" applyAlignment="1" applyProtection="1">
      <alignment vertical="center" shrinkToFit="1"/>
    </xf>
    <xf numFmtId="0" fontId="14" fillId="0" borderId="19" xfId="3" applyFont="1" applyBorder="1" applyAlignment="1" applyProtection="1">
      <alignment horizontal="left" vertical="center"/>
    </xf>
    <xf numFmtId="0" fontId="14" fillId="0" borderId="20" xfId="3" applyFont="1" applyBorder="1" applyAlignment="1" applyProtection="1">
      <alignment vertical="center" wrapText="1"/>
    </xf>
    <xf numFmtId="164" fontId="15" fillId="3" borderId="19" xfId="4" applyNumberFormat="1" applyFont="1" applyFill="1" applyBorder="1" applyAlignment="1" applyProtection="1">
      <alignment horizontal="center" vertical="center" shrinkToFit="1"/>
    </xf>
    <xf numFmtId="164" fontId="15" fillId="3" borderId="21" xfId="4" applyNumberFormat="1" applyFont="1" applyFill="1" applyBorder="1" applyAlignment="1" applyProtection="1">
      <alignment horizontal="center" vertical="center" shrinkToFit="1"/>
    </xf>
    <xf numFmtId="164" fontId="15" fillId="3" borderId="22" xfId="4" applyNumberFormat="1" applyFont="1" applyFill="1" applyBorder="1" applyAlignment="1" applyProtection="1">
      <alignment horizontal="center" vertical="center" shrinkToFit="1"/>
    </xf>
    <xf numFmtId="164" fontId="15" fillId="0" borderId="23" xfId="4" applyNumberFormat="1" applyFont="1" applyFill="1" applyBorder="1" applyAlignment="1" applyProtection="1">
      <alignment horizontal="center" vertical="center" shrinkToFit="1"/>
    </xf>
    <xf numFmtId="164" fontId="15" fillId="0" borderId="21" xfId="4" applyNumberFormat="1" applyFont="1" applyFill="1" applyBorder="1" applyAlignment="1" applyProtection="1">
      <alignment horizontal="center" vertical="center" shrinkToFit="1"/>
    </xf>
    <xf numFmtId="0" fontId="16" fillId="0" borderId="24" xfId="3" applyFont="1" applyBorder="1" applyAlignment="1" applyProtection="1">
      <alignment horizontal="left" vertical="center"/>
    </xf>
    <xf numFmtId="0" fontId="16" fillId="0" borderId="25" xfId="3" applyFont="1" applyBorder="1" applyAlignment="1" applyProtection="1">
      <alignment vertical="center" wrapText="1"/>
    </xf>
    <xf numFmtId="164" fontId="17" fillId="3" borderId="24" xfId="4" applyNumberFormat="1" applyFont="1" applyFill="1" applyBorder="1" applyAlignment="1" applyProtection="1">
      <alignment vertical="center" shrinkToFit="1"/>
    </xf>
    <xf numFmtId="164" fontId="17" fillId="3" borderId="26" xfId="4" applyNumberFormat="1" applyFont="1" applyFill="1" applyBorder="1" applyAlignment="1" applyProtection="1">
      <alignment vertical="center" shrinkToFit="1"/>
    </xf>
    <xf numFmtId="164" fontId="17" fillId="3" borderId="27" xfId="4" applyNumberFormat="1" applyFont="1" applyFill="1" applyBorder="1" applyAlignment="1" applyProtection="1">
      <alignment vertical="center" shrinkToFit="1"/>
    </xf>
    <xf numFmtId="164" fontId="17" fillId="0" borderId="28" xfId="4" applyNumberFormat="1" applyFont="1" applyFill="1" applyBorder="1" applyAlignment="1" applyProtection="1">
      <alignment vertical="center" shrinkToFit="1"/>
    </xf>
    <xf numFmtId="164" fontId="17" fillId="0" borderId="26" xfId="4" applyNumberFormat="1" applyFont="1" applyFill="1" applyBorder="1" applyAlignment="1" applyProtection="1">
      <alignment vertical="center" shrinkToFit="1"/>
    </xf>
    <xf numFmtId="0" fontId="16" fillId="0" borderId="14" xfId="3" applyFont="1" applyBorder="1" applyAlignment="1" applyProtection="1">
      <alignment horizontal="left" vertical="center"/>
    </xf>
    <xf numFmtId="0" fontId="16" fillId="0" borderId="15" xfId="3" applyFont="1" applyBorder="1" applyAlignment="1" applyProtection="1">
      <alignment vertical="center" wrapText="1"/>
    </xf>
    <xf numFmtId="164" fontId="17" fillId="3" borderId="14" xfId="4" applyNumberFormat="1" applyFont="1" applyFill="1" applyBorder="1" applyAlignment="1" applyProtection="1">
      <alignment vertical="center" shrinkToFit="1"/>
    </xf>
    <xf numFmtId="164" fontId="17" fillId="3" borderId="16" xfId="4" applyNumberFormat="1" applyFont="1" applyFill="1" applyBorder="1" applyAlignment="1" applyProtection="1">
      <alignment vertical="center" shrinkToFit="1"/>
    </xf>
    <xf numFmtId="164" fontId="17" fillId="3" borderId="17" xfId="4" applyNumberFormat="1" applyFont="1" applyFill="1" applyBorder="1" applyAlignment="1" applyProtection="1">
      <alignment vertical="center" shrinkToFit="1"/>
    </xf>
    <xf numFmtId="164" fontId="17" fillId="0" borderId="18" xfId="4" applyNumberFormat="1" applyFont="1" applyFill="1" applyBorder="1" applyAlignment="1" applyProtection="1">
      <alignment vertical="center" shrinkToFit="1"/>
    </xf>
    <xf numFmtId="164" fontId="17" fillId="0" borderId="16" xfId="4" applyNumberFormat="1" applyFont="1" applyFill="1" applyBorder="1" applyAlignment="1" applyProtection="1">
      <alignment vertical="center" shrinkToFit="1"/>
    </xf>
    <xf numFmtId="0" fontId="14" fillId="0" borderId="19" xfId="5" applyFont="1" applyBorder="1" applyAlignment="1" applyProtection="1">
      <alignment horizontal="left" vertical="center"/>
    </xf>
    <xf numFmtId="0" fontId="14" fillId="0" borderId="20" xfId="5" applyFont="1" applyBorder="1" applyAlignment="1" applyProtection="1">
      <alignment vertical="center" wrapText="1"/>
    </xf>
    <xf numFmtId="0" fontId="16" fillId="0" borderId="24" xfId="5" applyFont="1" applyBorder="1" applyAlignment="1" applyProtection="1">
      <alignment horizontal="left" vertical="center"/>
    </xf>
    <xf numFmtId="0" fontId="16" fillId="0" borderId="25" xfId="5" applyFont="1" applyBorder="1" applyAlignment="1" applyProtection="1">
      <alignment vertical="center" wrapText="1"/>
    </xf>
    <xf numFmtId="164" fontId="17" fillId="3" borderId="24" xfId="4" applyNumberFormat="1" applyFont="1" applyFill="1" applyBorder="1" applyAlignment="1" applyProtection="1">
      <alignment horizontal="center" vertical="center" shrinkToFit="1"/>
    </xf>
    <xf numFmtId="164" fontId="17" fillId="3" borderId="26" xfId="4" applyNumberFormat="1" applyFont="1" applyFill="1" applyBorder="1" applyAlignment="1" applyProtection="1">
      <alignment horizontal="center" vertical="center" shrinkToFit="1"/>
    </xf>
    <xf numFmtId="164" fontId="17" fillId="3" borderId="27" xfId="4" applyNumberFormat="1" applyFont="1" applyFill="1" applyBorder="1" applyAlignment="1" applyProtection="1">
      <alignment horizontal="center" vertical="center" shrinkToFit="1"/>
    </xf>
    <xf numFmtId="0" fontId="16" fillId="0" borderId="8" xfId="5" applyFont="1" applyBorder="1" applyAlignment="1" applyProtection="1">
      <alignment horizontal="left" vertical="center"/>
    </xf>
    <xf numFmtId="0" fontId="16" fillId="0" borderId="13" xfId="5" applyFont="1" applyBorder="1" applyAlignment="1" applyProtection="1">
      <alignment vertical="center" wrapText="1"/>
    </xf>
    <xf numFmtId="164" fontId="17" fillId="3" borderId="8" xfId="4" applyNumberFormat="1" applyFont="1" applyFill="1" applyBorder="1" applyAlignment="1" applyProtection="1">
      <alignment horizontal="center" vertical="center" shrinkToFit="1"/>
    </xf>
    <xf numFmtId="164" fontId="17" fillId="3" borderId="10" xfId="4" applyNumberFormat="1" applyFont="1" applyFill="1" applyBorder="1" applyAlignment="1" applyProtection="1">
      <alignment horizontal="center" vertical="center" shrinkToFit="1"/>
    </xf>
    <xf numFmtId="164" fontId="17" fillId="3" borderId="11" xfId="4" applyNumberFormat="1" applyFont="1" applyFill="1" applyBorder="1" applyAlignment="1" applyProtection="1">
      <alignment horizontal="center" vertical="center" shrinkToFit="1"/>
    </xf>
    <xf numFmtId="10" fontId="17" fillId="0" borderId="12" xfId="6" applyNumberFormat="1" applyFont="1" applyFill="1" applyBorder="1" applyAlignment="1" applyProtection="1">
      <alignment vertical="center" shrinkToFit="1"/>
    </xf>
    <xf numFmtId="0" fontId="16" fillId="0" borderId="29" xfId="5" applyFont="1" applyBorder="1" applyAlignment="1" applyProtection="1">
      <alignment horizontal="left" vertical="center"/>
    </xf>
    <xf numFmtId="0" fontId="16" fillId="0" borderId="30" xfId="5" applyFont="1" applyBorder="1" applyAlignment="1" applyProtection="1">
      <alignment vertical="center" wrapText="1"/>
    </xf>
    <xf numFmtId="164" fontId="17" fillId="3" borderId="29" xfId="4" applyNumberFormat="1" applyFont="1" applyFill="1" applyBorder="1" applyAlignment="1" applyProtection="1">
      <alignment horizontal="center" vertical="center" shrinkToFit="1"/>
    </xf>
    <xf numFmtId="164" fontId="17" fillId="3" borderId="31" xfId="4" applyNumberFormat="1" applyFont="1" applyFill="1" applyBorder="1" applyAlignment="1" applyProtection="1">
      <alignment horizontal="center" vertical="center" shrinkToFit="1"/>
    </xf>
    <xf numFmtId="164" fontId="17" fillId="3" borderId="32" xfId="4" applyNumberFormat="1" applyFont="1" applyFill="1" applyBorder="1" applyAlignment="1" applyProtection="1">
      <alignment horizontal="center" vertical="center" shrinkToFit="1"/>
    </xf>
    <xf numFmtId="10" fontId="17" fillId="0" borderId="33" xfId="6" applyNumberFormat="1" applyFont="1" applyFill="1" applyBorder="1" applyAlignment="1" applyProtection="1">
      <alignment vertical="center" shrinkToFit="1"/>
    </xf>
    <xf numFmtId="0" fontId="10" fillId="0" borderId="0" xfId="3" applyFont="1" applyBorder="1" applyAlignment="1" applyProtection="1">
      <alignment vertical="center"/>
    </xf>
    <xf numFmtId="0" fontId="10" fillId="0" borderId="0" xfId="3" applyFont="1" applyAlignment="1" applyProtection="1"/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Border="1" applyAlignment="1"/>
    <xf numFmtId="0" fontId="4" fillId="0" borderId="1" xfId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 applyProtection="1">
      <alignment horizontal="center" vertical="center"/>
    </xf>
    <xf numFmtId="0" fontId="11" fillId="0" borderId="2" xfId="3" applyFont="1" applyBorder="1" applyAlignment="1" applyProtection="1">
      <alignment horizontal="center" vertical="center" wrapText="1"/>
    </xf>
    <xf numFmtId="0" fontId="11" fillId="0" borderId="2" xfId="3" applyFont="1" applyBorder="1" applyAlignment="1" applyProtection="1">
      <alignment horizontal="center" vertical="center" wrapText="1"/>
    </xf>
    <xf numFmtId="0" fontId="19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pa&#380;dziernik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>
        <row r="75">
          <cell r="AE75" t="str">
            <v>rokwzgl=26 i lp=670</v>
          </cell>
        </row>
      </sheetData>
      <sheetData sheetId="3" refreshError="1"/>
      <sheetData sheetId="4">
        <row r="1">
          <cell r="N1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V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V1"/>
    </sheetView>
  </sheetViews>
  <sheetFormatPr defaultRowHeight="14.25"/>
  <cols>
    <col min="1" max="1" width="6.42578125" style="27" customWidth="1"/>
    <col min="2" max="2" width="26.42578125" style="113" customWidth="1"/>
    <col min="3" max="22" width="11.7109375" style="27" customWidth="1"/>
    <col min="23" max="16384" width="9.140625" style="26"/>
  </cols>
  <sheetData>
    <row r="1" spans="1:22" ht="20.25">
      <c r="A1" s="122" t="s">
        <v>257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22" ht="15.75">
      <c r="B2" s="28"/>
      <c r="C2" s="121" t="s">
        <v>60</v>
      </c>
      <c r="D2" s="121"/>
      <c r="E2" s="120" t="s">
        <v>61</v>
      </c>
      <c r="F2" s="120" t="s">
        <v>60</v>
      </c>
      <c r="G2" s="29" t="str">
        <f>""</f>
        <v/>
      </c>
      <c r="H2" s="30"/>
      <c r="I2" s="30"/>
      <c r="J2" s="30"/>
      <c r="K2" s="30"/>
    </row>
    <row r="3" spans="1:22" ht="42.75" customHeight="1">
      <c r="A3" s="31" t="s">
        <v>1</v>
      </c>
      <c r="B3" s="119" t="s">
        <v>62</v>
      </c>
      <c r="C3" s="32">
        <f>+D3-1</f>
        <v>2013</v>
      </c>
      <c r="D3" s="33">
        <f>+E3-1</f>
        <v>2014</v>
      </c>
      <c r="E3" s="33">
        <f>+F3</f>
        <v>2015</v>
      </c>
      <c r="F3" s="34">
        <f>+G3-1</f>
        <v>2015</v>
      </c>
      <c r="G3" s="35">
        <f>+[1]DaneZrodlowe!$N$1</f>
        <v>2016</v>
      </c>
      <c r="H3" s="36">
        <f>+G3+1</f>
        <v>2017</v>
      </c>
      <c r="I3" s="36">
        <f t="shared" ref="I3:V3" si="0">+H3+1</f>
        <v>2018</v>
      </c>
      <c r="J3" s="36">
        <f t="shared" si="0"/>
        <v>2019</v>
      </c>
      <c r="K3" s="36">
        <f t="shared" si="0"/>
        <v>2020</v>
      </c>
      <c r="L3" s="36">
        <f t="shared" si="0"/>
        <v>2021</v>
      </c>
      <c r="M3" s="36">
        <f t="shared" si="0"/>
        <v>2022</v>
      </c>
      <c r="N3" s="36">
        <f t="shared" si="0"/>
        <v>2023</v>
      </c>
      <c r="O3" s="36">
        <f t="shared" si="0"/>
        <v>2024</v>
      </c>
      <c r="P3" s="36">
        <f t="shared" si="0"/>
        <v>2025</v>
      </c>
      <c r="Q3" s="36">
        <f t="shared" si="0"/>
        <v>2026</v>
      </c>
      <c r="R3" s="36">
        <f t="shared" si="0"/>
        <v>2027</v>
      </c>
      <c r="S3" s="36">
        <f t="shared" si="0"/>
        <v>2028</v>
      </c>
      <c r="T3" s="36">
        <f t="shared" si="0"/>
        <v>2029</v>
      </c>
      <c r="U3" s="36">
        <f t="shared" si="0"/>
        <v>2030</v>
      </c>
      <c r="V3" s="36">
        <f t="shared" si="0"/>
        <v>2031</v>
      </c>
    </row>
    <row r="4" spans="1:22" ht="16.5" customHeight="1">
      <c r="A4" s="37">
        <v>1</v>
      </c>
      <c r="B4" s="38" t="s">
        <v>63</v>
      </c>
      <c r="C4" s="39">
        <f>114258599.67</f>
        <v>114258599.67</v>
      </c>
      <c r="D4" s="40">
        <f>109073534.78</f>
        <v>109073534.78</v>
      </c>
      <c r="E4" s="40">
        <f>112481672</f>
        <v>112481672</v>
      </c>
      <c r="F4" s="41">
        <f>113412610.88</f>
        <v>113412610.88</v>
      </c>
      <c r="G4" s="42">
        <f>122925756</f>
        <v>122925756</v>
      </c>
      <c r="H4" s="43">
        <f>130078066</f>
        <v>130078066</v>
      </c>
      <c r="I4" s="43">
        <f>133484378</f>
        <v>133484378</v>
      </c>
      <c r="J4" s="43">
        <f>126965217</f>
        <v>126965217</v>
      </c>
      <c r="K4" s="43">
        <f>130977830</f>
        <v>130977830</v>
      </c>
      <c r="L4" s="43">
        <f>135590710</f>
        <v>135590710</v>
      </c>
      <c r="M4" s="43">
        <f>140111885</f>
        <v>140111885</v>
      </c>
      <c r="N4" s="43">
        <f>144659077</f>
        <v>144659077</v>
      </c>
      <c r="O4" s="43">
        <f>149328307</f>
        <v>149328307</v>
      </c>
      <c r="P4" s="43">
        <f>153896635</f>
        <v>153896635</v>
      </c>
      <c r="Q4" s="43">
        <f>158404534</f>
        <v>158404534</v>
      </c>
      <c r="R4" s="43">
        <f>162992465</f>
        <v>162992465</v>
      </c>
      <c r="S4" s="43">
        <f>167713446</f>
        <v>167713446</v>
      </c>
      <c r="T4" s="43">
        <f>172403822</f>
        <v>172403822</v>
      </c>
      <c r="U4" s="43">
        <f>177225529</f>
        <v>177225529</v>
      </c>
      <c r="V4" s="43">
        <f>182182244</f>
        <v>182182244</v>
      </c>
    </row>
    <row r="5" spans="1:22" ht="16.5" customHeight="1">
      <c r="A5" s="44" t="s">
        <v>64</v>
      </c>
      <c r="B5" s="45" t="s">
        <v>65</v>
      </c>
      <c r="C5" s="46">
        <f>102891930.3</f>
        <v>102891930.3</v>
      </c>
      <c r="D5" s="47">
        <f>107100203.64</f>
        <v>107100203.64</v>
      </c>
      <c r="E5" s="47">
        <f>109185068</f>
        <v>109185068</v>
      </c>
      <c r="F5" s="48">
        <f>110702007.93</f>
        <v>110702007.93000001</v>
      </c>
      <c r="G5" s="49">
        <f>111600016</f>
        <v>111600016</v>
      </c>
      <c r="H5" s="50">
        <f>115638825</f>
        <v>115638825</v>
      </c>
      <c r="I5" s="50">
        <f>120264378</f>
        <v>120264378</v>
      </c>
      <c r="J5" s="50">
        <f>125195217</f>
        <v>125195217</v>
      </c>
      <c r="K5" s="50">
        <f>130077830</f>
        <v>130077830</v>
      </c>
      <c r="L5" s="50">
        <f>134890710</f>
        <v>134890710</v>
      </c>
      <c r="M5" s="50">
        <f>139611885</f>
        <v>139611885</v>
      </c>
      <c r="N5" s="50">
        <f>144219077</f>
        <v>144219077</v>
      </c>
      <c r="O5" s="50">
        <f>148978307</f>
        <v>148978307</v>
      </c>
      <c r="P5" s="50">
        <f>153596635</f>
        <v>153596635</v>
      </c>
      <c r="Q5" s="50">
        <f>158204534</f>
        <v>158204534</v>
      </c>
      <c r="R5" s="50">
        <f>162792465</f>
        <v>162792465</v>
      </c>
      <c r="S5" s="50">
        <f>167513446</f>
        <v>167513446</v>
      </c>
      <c r="T5" s="50">
        <f>172203822</f>
        <v>172203822</v>
      </c>
      <c r="U5" s="50">
        <f>177025529</f>
        <v>177025529</v>
      </c>
      <c r="V5" s="50">
        <f>181982244</f>
        <v>181982244</v>
      </c>
    </row>
    <row r="6" spans="1:22" ht="42" customHeight="1">
      <c r="A6" s="44" t="s">
        <v>66</v>
      </c>
      <c r="B6" s="45" t="s">
        <v>67</v>
      </c>
      <c r="C6" s="46">
        <f>31173468</f>
        <v>31173468</v>
      </c>
      <c r="D6" s="47">
        <f>33469606</f>
        <v>33469606</v>
      </c>
      <c r="E6" s="47">
        <f>35806412</f>
        <v>35806412</v>
      </c>
      <c r="F6" s="48">
        <f>36117192</f>
        <v>36117192</v>
      </c>
      <c r="G6" s="49">
        <f>38474381</f>
        <v>38474381</v>
      </c>
      <c r="H6" s="50">
        <f>39974882</f>
        <v>39974882</v>
      </c>
      <c r="I6" s="50">
        <f>41573877</f>
        <v>41573877</v>
      </c>
      <c r="J6" s="50">
        <f>43278406</f>
        <v>43278406</v>
      </c>
      <c r="K6" s="50">
        <f>44966264</f>
        <v>44966264</v>
      </c>
      <c r="L6" s="50">
        <f>46630016</f>
        <v>46630016</v>
      </c>
      <c r="M6" s="50">
        <f>48262067</f>
        <v>48262067</v>
      </c>
      <c r="N6" s="50">
        <f>49854715</f>
        <v>49854715</v>
      </c>
      <c r="O6" s="50">
        <f>51499921</f>
        <v>51499921</v>
      </c>
      <c r="P6" s="50">
        <f>53096419</f>
        <v>53096419</v>
      </c>
      <c r="Q6" s="50">
        <f>54689312</f>
        <v>54689312</v>
      </c>
      <c r="R6" s="50">
        <f>56275302</f>
        <v>56275302</v>
      </c>
      <c r="S6" s="50">
        <f>57907286</f>
        <v>57907286</v>
      </c>
      <c r="T6" s="50">
        <f>59528690</f>
        <v>59528690</v>
      </c>
      <c r="U6" s="50">
        <f>61195493</f>
        <v>61195493</v>
      </c>
      <c r="V6" s="50">
        <f>62908967</f>
        <v>62908967</v>
      </c>
    </row>
    <row r="7" spans="1:22" ht="42" customHeight="1">
      <c r="A7" s="44" t="s">
        <v>68</v>
      </c>
      <c r="B7" s="45" t="s">
        <v>69</v>
      </c>
      <c r="C7" s="46">
        <f>713648.66</f>
        <v>713648.66</v>
      </c>
      <c r="D7" s="47">
        <f>766855.31</f>
        <v>766855.31</v>
      </c>
      <c r="E7" s="47">
        <f>820000</f>
        <v>820000</v>
      </c>
      <c r="F7" s="48">
        <f>893268.75</f>
        <v>893268.75</v>
      </c>
      <c r="G7" s="49">
        <f>900000</f>
        <v>900000</v>
      </c>
      <c r="H7" s="50">
        <f>935100</f>
        <v>935100</v>
      </c>
      <c r="I7" s="50">
        <f>972504</f>
        <v>972504</v>
      </c>
      <c r="J7" s="50">
        <f>1012377</f>
        <v>1012377</v>
      </c>
      <c r="K7" s="50">
        <f>1051860</f>
        <v>1051860</v>
      </c>
      <c r="L7" s="50">
        <f>1090779</f>
        <v>1090779</v>
      </c>
      <c r="M7" s="50">
        <f>1128956</f>
        <v>1128956</v>
      </c>
      <c r="N7" s="50">
        <f>1166212</f>
        <v>1166212</v>
      </c>
      <c r="O7" s="50">
        <f>1204697</f>
        <v>1204697</v>
      </c>
      <c r="P7" s="50">
        <f>1242043</f>
        <v>1242043</v>
      </c>
      <c r="Q7" s="50">
        <f>1279304</f>
        <v>1279304</v>
      </c>
      <c r="R7" s="50">
        <f>1316404</f>
        <v>1316404</v>
      </c>
      <c r="S7" s="50">
        <f>1354580</f>
        <v>1354580</v>
      </c>
      <c r="T7" s="50">
        <f>1392508</f>
        <v>1392508</v>
      </c>
      <c r="U7" s="50">
        <f>1431498</f>
        <v>1431498</v>
      </c>
      <c r="V7" s="50">
        <f>1471580</f>
        <v>1471580</v>
      </c>
    </row>
    <row r="8" spans="1:22" ht="16.5" customHeight="1">
      <c r="A8" s="44" t="s">
        <v>70</v>
      </c>
      <c r="B8" s="45" t="s">
        <v>71</v>
      </c>
      <c r="C8" s="46">
        <f>3718997.07</f>
        <v>3718997.07</v>
      </c>
      <c r="D8" s="47">
        <f>3961887.72</f>
        <v>3961887.72</v>
      </c>
      <c r="E8" s="47">
        <f>4178308</f>
        <v>4178308</v>
      </c>
      <c r="F8" s="48">
        <f>4259449.62</f>
        <v>4259449.62</v>
      </c>
      <c r="G8" s="49">
        <f>4766309</f>
        <v>4766309</v>
      </c>
      <c r="H8" s="50">
        <f>4917896</f>
        <v>4917896</v>
      </c>
      <c r="I8" s="50">
        <f>5114612</f>
        <v>5114612</v>
      </c>
      <c r="J8" s="50">
        <f>5324311</f>
        <v>5324311</v>
      </c>
      <c r="K8" s="50">
        <f>5531959</f>
        <v>5531959</v>
      </c>
      <c r="L8" s="50">
        <f>5736641</f>
        <v>5736641</v>
      </c>
      <c r="M8" s="50">
        <f>5937423</f>
        <v>5937423</v>
      </c>
      <c r="N8" s="50">
        <f>6133358</f>
        <v>6133358</v>
      </c>
      <c r="O8" s="50">
        <f>6335759</f>
        <v>6335759</v>
      </c>
      <c r="P8" s="50">
        <f>6532168</f>
        <v>6532168</v>
      </c>
      <c r="Q8" s="50">
        <f>6728133</f>
        <v>6728133</v>
      </c>
      <c r="R8" s="50">
        <f>6923249</f>
        <v>6923249</v>
      </c>
      <c r="S8" s="50">
        <f>7124023</f>
        <v>7124023</v>
      </c>
      <c r="T8" s="50">
        <f>7323496</f>
        <v>7323496</v>
      </c>
      <c r="U8" s="50">
        <f>7528554</f>
        <v>7528554</v>
      </c>
      <c r="V8" s="50">
        <f>7739354</f>
        <v>7739354</v>
      </c>
    </row>
    <row r="9" spans="1:22" ht="16.5" customHeight="1">
      <c r="A9" s="44" t="s">
        <v>72</v>
      </c>
      <c r="B9" s="45" t="s">
        <v>73</v>
      </c>
      <c r="C9" s="46">
        <f>0</f>
        <v>0</v>
      </c>
      <c r="D9" s="47">
        <f>0</f>
        <v>0</v>
      </c>
      <c r="E9" s="47">
        <f>0</f>
        <v>0</v>
      </c>
      <c r="F9" s="48">
        <f>0</f>
        <v>0</v>
      </c>
      <c r="G9" s="49">
        <f>0</f>
        <v>0</v>
      </c>
      <c r="H9" s="50">
        <f>0</f>
        <v>0</v>
      </c>
      <c r="I9" s="50">
        <f>0</f>
        <v>0</v>
      </c>
      <c r="J9" s="50">
        <f>0</f>
        <v>0</v>
      </c>
      <c r="K9" s="50">
        <f>0</f>
        <v>0</v>
      </c>
      <c r="L9" s="50">
        <f>0</f>
        <v>0</v>
      </c>
      <c r="M9" s="50">
        <f>0</f>
        <v>0</v>
      </c>
      <c r="N9" s="50">
        <f>0</f>
        <v>0</v>
      </c>
      <c r="O9" s="50">
        <f>0</f>
        <v>0</v>
      </c>
      <c r="P9" s="50">
        <f>0</f>
        <v>0</v>
      </c>
      <c r="Q9" s="50">
        <f>0</f>
        <v>0</v>
      </c>
      <c r="R9" s="50">
        <f>0</f>
        <v>0</v>
      </c>
      <c r="S9" s="50">
        <f>0</f>
        <v>0</v>
      </c>
      <c r="T9" s="50">
        <f>0</f>
        <v>0</v>
      </c>
      <c r="U9" s="50">
        <f>0</f>
        <v>0</v>
      </c>
      <c r="V9" s="50">
        <f>0</f>
        <v>0</v>
      </c>
    </row>
    <row r="10" spans="1:22" ht="16.5" customHeight="1">
      <c r="A10" s="44" t="s">
        <v>74</v>
      </c>
      <c r="B10" s="45" t="s">
        <v>75</v>
      </c>
      <c r="C10" s="46">
        <f>44319570</f>
        <v>44319570</v>
      </c>
      <c r="D10" s="47">
        <f>45953165</f>
        <v>45953165</v>
      </c>
      <c r="E10" s="47">
        <f>45902892</f>
        <v>45902892</v>
      </c>
      <c r="F10" s="48">
        <f>45930651</f>
        <v>45930651</v>
      </c>
      <c r="G10" s="49">
        <f>44868892</f>
        <v>44868892</v>
      </c>
      <c r="H10" s="50">
        <f>46618779</f>
        <v>46618779</v>
      </c>
      <c r="I10" s="50">
        <f>48483530</f>
        <v>48483530</v>
      </c>
      <c r="J10" s="50">
        <f>50471355</f>
        <v>50471355</v>
      </c>
      <c r="K10" s="50">
        <f>52439738</f>
        <v>52439738</v>
      </c>
      <c r="L10" s="50">
        <f>54380008</f>
        <v>54380008</v>
      </c>
      <c r="M10" s="50">
        <f>56283308</f>
        <v>56283308</v>
      </c>
      <c r="N10" s="50">
        <f>58140657</f>
        <v>58140657</v>
      </c>
      <c r="O10" s="50">
        <f>60059299</f>
        <v>60059299</v>
      </c>
      <c r="P10" s="50">
        <f>61921137</f>
        <v>61921137</v>
      </c>
      <c r="Q10" s="50">
        <f>63778771</f>
        <v>63778771</v>
      </c>
      <c r="R10" s="50">
        <f>65628355</f>
        <v>65628355</v>
      </c>
      <c r="S10" s="50">
        <f>67531577</f>
        <v>67531577</v>
      </c>
      <c r="T10" s="50">
        <f>69422461</f>
        <v>69422461</v>
      </c>
      <c r="U10" s="50">
        <f>71366290</f>
        <v>71366290</v>
      </c>
      <c r="V10" s="50">
        <f>73364546</f>
        <v>73364546</v>
      </c>
    </row>
    <row r="11" spans="1:22" ht="33" customHeight="1">
      <c r="A11" s="44" t="s">
        <v>76</v>
      </c>
      <c r="B11" s="45" t="s">
        <v>77</v>
      </c>
      <c r="C11" s="46">
        <f>17087095.29</f>
        <v>17087095.289999999</v>
      </c>
      <c r="D11" s="47">
        <f>16129500.75</f>
        <v>16129500.75</v>
      </c>
      <c r="E11" s="47">
        <f>15572302</f>
        <v>15572302</v>
      </c>
      <c r="F11" s="48">
        <f>15039810.53</f>
        <v>15039810.529999999</v>
      </c>
      <c r="G11" s="49">
        <f>16109389</f>
        <v>16109389</v>
      </c>
      <c r="H11" s="50">
        <f>16406972</f>
        <v>16406972</v>
      </c>
      <c r="I11" s="50">
        <f>17063251</f>
        <v>17063251</v>
      </c>
      <c r="J11" s="50">
        <f>17762844</f>
        <v>17762844</v>
      </c>
      <c r="K11" s="50">
        <f>18455595</f>
        <v>18455595</v>
      </c>
      <c r="L11" s="50">
        <f>19138452</f>
        <v>19138452</v>
      </c>
      <c r="M11" s="50">
        <f>19808298</f>
        <v>19808298</v>
      </c>
      <c r="N11" s="50">
        <f>20461972</f>
        <v>20461972</v>
      </c>
      <c r="O11" s="50">
        <f>21137217</f>
        <v>21137217</v>
      </c>
      <c r="P11" s="50">
        <f>21792471</f>
        <v>21792471</v>
      </c>
      <c r="Q11" s="50">
        <f>22446245</f>
        <v>22446245</v>
      </c>
      <c r="R11" s="50">
        <f>23097186</f>
        <v>23097186</v>
      </c>
      <c r="S11" s="50">
        <f>23767004</f>
        <v>23767004</v>
      </c>
      <c r="T11" s="50">
        <f>24432480</f>
        <v>24432480</v>
      </c>
      <c r="U11" s="50">
        <f>25116589</f>
        <v>25116589</v>
      </c>
      <c r="V11" s="50">
        <f>25819853</f>
        <v>25819853</v>
      </c>
    </row>
    <row r="12" spans="1:22" ht="16.5" customHeight="1">
      <c r="A12" s="44" t="s">
        <v>78</v>
      </c>
      <c r="B12" s="45" t="s">
        <v>79</v>
      </c>
      <c r="C12" s="46">
        <f>11366669.37</f>
        <v>11366669.369999999</v>
      </c>
      <c r="D12" s="47">
        <f>1973331.14</f>
        <v>1973331.14</v>
      </c>
      <c r="E12" s="47">
        <f>3296604</f>
        <v>3296604</v>
      </c>
      <c r="F12" s="48">
        <f>2710602.95</f>
        <v>2710602.95</v>
      </c>
      <c r="G12" s="49">
        <f>11325740</f>
        <v>11325740</v>
      </c>
      <c r="H12" s="50">
        <f>14439241</f>
        <v>14439241</v>
      </c>
      <c r="I12" s="50">
        <f>13220000</f>
        <v>13220000</v>
      </c>
      <c r="J12" s="50">
        <f>1770000</f>
        <v>1770000</v>
      </c>
      <c r="K12" s="50">
        <f>900000</f>
        <v>900000</v>
      </c>
      <c r="L12" s="50">
        <f>700000</f>
        <v>700000</v>
      </c>
      <c r="M12" s="50">
        <f>500000</f>
        <v>500000</v>
      </c>
      <c r="N12" s="50">
        <f>440000</f>
        <v>440000</v>
      </c>
      <c r="O12" s="50">
        <f>350000</f>
        <v>350000</v>
      </c>
      <c r="P12" s="50">
        <f>300000</f>
        <v>300000</v>
      </c>
      <c r="Q12" s="50">
        <f t="shared" ref="Q12:V12" si="1">200000</f>
        <v>200000</v>
      </c>
      <c r="R12" s="50">
        <f t="shared" si="1"/>
        <v>200000</v>
      </c>
      <c r="S12" s="50">
        <f t="shared" si="1"/>
        <v>200000</v>
      </c>
      <c r="T12" s="50">
        <f t="shared" si="1"/>
        <v>200000</v>
      </c>
      <c r="U12" s="50">
        <f t="shared" si="1"/>
        <v>200000</v>
      </c>
      <c r="V12" s="50">
        <f t="shared" si="1"/>
        <v>200000</v>
      </c>
    </row>
    <row r="13" spans="1:22" ht="16.5" customHeight="1">
      <c r="A13" s="44" t="s">
        <v>25</v>
      </c>
      <c r="B13" s="45" t="s">
        <v>80</v>
      </c>
      <c r="C13" s="46">
        <f>9117277.01</f>
        <v>9117277.0099999998</v>
      </c>
      <c r="D13" s="47">
        <f>263195.83</f>
        <v>263195.83</v>
      </c>
      <c r="E13" s="47">
        <f>1208000</f>
        <v>1208000</v>
      </c>
      <c r="F13" s="48">
        <f>427798.86</f>
        <v>427798.86</v>
      </c>
      <c r="G13" s="49">
        <f>7505000</f>
        <v>7505000</v>
      </c>
      <c r="H13" s="50">
        <f>5000000</f>
        <v>5000000</v>
      </c>
      <c r="I13" s="50">
        <f>2470000</f>
        <v>2470000</v>
      </c>
      <c r="J13" s="50">
        <f>1020000</f>
        <v>1020000</v>
      </c>
      <c r="K13" s="50">
        <f>400000</f>
        <v>400000</v>
      </c>
      <c r="L13" s="50">
        <f>300000</f>
        <v>300000</v>
      </c>
      <c r="M13" s="50">
        <f>100000</f>
        <v>100000</v>
      </c>
      <c r="N13" s="50">
        <f>40000</f>
        <v>40000</v>
      </c>
      <c r="O13" s="50">
        <f>50000</f>
        <v>50000</v>
      </c>
      <c r="P13" s="50">
        <f>0</f>
        <v>0</v>
      </c>
      <c r="Q13" s="50">
        <f>0</f>
        <v>0</v>
      </c>
      <c r="R13" s="50">
        <f>0</f>
        <v>0</v>
      </c>
      <c r="S13" s="50">
        <f>0</f>
        <v>0</v>
      </c>
      <c r="T13" s="50">
        <f>0</f>
        <v>0</v>
      </c>
      <c r="U13" s="50">
        <f>0</f>
        <v>0</v>
      </c>
      <c r="V13" s="50">
        <f>0</f>
        <v>0</v>
      </c>
    </row>
    <row r="14" spans="1:22" ht="30.75" customHeight="1">
      <c r="A14" s="44" t="s">
        <v>26</v>
      </c>
      <c r="B14" s="45" t="s">
        <v>81</v>
      </c>
      <c r="C14" s="46">
        <f>2246085</f>
        <v>2246085</v>
      </c>
      <c r="D14" s="47">
        <f>1606333</f>
        <v>1606333</v>
      </c>
      <c r="E14" s="47">
        <f>2080578</f>
        <v>2080578</v>
      </c>
      <c r="F14" s="48">
        <f>2276260</f>
        <v>2276260</v>
      </c>
      <c r="G14" s="49">
        <f>3795310</f>
        <v>3795310</v>
      </c>
      <c r="H14" s="50">
        <f>9439241</f>
        <v>9439241</v>
      </c>
      <c r="I14" s="50">
        <f>10750000</f>
        <v>10750000</v>
      </c>
      <c r="J14" s="50">
        <f>750000</f>
        <v>750000</v>
      </c>
      <c r="K14" s="50">
        <f>500000</f>
        <v>500000</v>
      </c>
      <c r="L14" s="50">
        <f>400000</f>
        <v>400000</v>
      </c>
      <c r="M14" s="50">
        <f>400000</f>
        <v>400000</v>
      </c>
      <c r="N14" s="50">
        <f>400000</f>
        <v>400000</v>
      </c>
      <c r="O14" s="50">
        <f>300000</f>
        <v>300000</v>
      </c>
      <c r="P14" s="50">
        <f>300000</f>
        <v>300000</v>
      </c>
      <c r="Q14" s="50">
        <f t="shared" ref="Q14:V14" si="2">200000</f>
        <v>200000</v>
      </c>
      <c r="R14" s="50">
        <f t="shared" si="2"/>
        <v>200000</v>
      </c>
      <c r="S14" s="50">
        <f t="shared" si="2"/>
        <v>200000</v>
      </c>
      <c r="T14" s="50">
        <f t="shared" si="2"/>
        <v>200000</v>
      </c>
      <c r="U14" s="50">
        <f t="shared" si="2"/>
        <v>200000</v>
      </c>
      <c r="V14" s="50">
        <f t="shared" si="2"/>
        <v>200000</v>
      </c>
    </row>
    <row r="15" spans="1:22" ht="16.5" customHeight="1">
      <c r="A15" s="37">
        <v>2</v>
      </c>
      <c r="B15" s="38" t="s">
        <v>82</v>
      </c>
      <c r="C15" s="39">
        <f>129424182.6</f>
        <v>129424182.59999999</v>
      </c>
      <c r="D15" s="40">
        <f>104368163.09</f>
        <v>104368163.09</v>
      </c>
      <c r="E15" s="40">
        <f>114303211</f>
        <v>114303211</v>
      </c>
      <c r="F15" s="41">
        <f>110915351.35</f>
        <v>110915351.34999999</v>
      </c>
      <c r="G15" s="42">
        <f>123283515</f>
        <v>123283515</v>
      </c>
      <c r="H15" s="43">
        <f>123400790</f>
        <v>123400790</v>
      </c>
      <c r="I15" s="43">
        <f>126973449</f>
        <v>126973449</v>
      </c>
      <c r="J15" s="43">
        <f>121576941</f>
        <v>121576941</v>
      </c>
      <c r="K15" s="43">
        <f>126563218</f>
        <v>126563218</v>
      </c>
      <c r="L15" s="43">
        <f>132248710</f>
        <v>132248710</v>
      </c>
      <c r="M15" s="43">
        <f>136669885</f>
        <v>136669885</v>
      </c>
      <c r="N15" s="43">
        <f>141967077</f>
        <v>141967077</v>
      </c>
      <c r="O15" s="43">
        <f>146636307</f>
        <v>146636307</v>
      </c>
      <c r="P15" s="43">
        <f>151204635</f>
        <v>151204635</v>
      </c>
      <c r="Q15" s="43">
        <f>156504534</f>
        <v>156504534</v>
      </c>
      <c r="R15" s="43">
        <f>161092465</f>
        <v>161092465</v>
      </c>
      <c r="S15" s="43">
        <f>165813446</f>
        <v>165813446</v>
      </c>
      <c r="T15" s="43">
        <f>172003822</f>
        <v>172003822</v>
      </c>
      <c r="U15" s="43">
        <f>176825529</f>
        <v>176825529</v>
      </c>
      <c r="V15" s="43">
        <f>181782244</f>
        <v>181782244</v>
      </c>
    </row>
    <row r="16" spans="1:22" ht="16.5" customHeight="1">
      <c r="A16" s="44" t="s">
        <v>83</v>
      </c>
      <c r="B16" s="45" t="s">
        <v>84</v>
      </c>
      <c r="C16" s="46">
        <f>123444031.94</f>
        <v>123444031.94</v>
      </c>
      <c r="D16" s="47">
        <f>96876666.03</f>
        <v>96876666.030000001</v>
      </c>
      <c r="E16" s="47">
        <f>107451924</f>
        <v>107451924</v>
      </c>
      <c r="F16" s="48">
        <f>104012514.5</f>
        <v>104012514.5</v>
      </c>
      <c r="G16" s="49">
        <f>110211115</f>
        <v>110211115</v>
      </c>
      <c r="H16" s="50">
        <f>107485874</f>
        <v>107485874</v>
      </c>
      <c r="I16" s="50">
        <f>109278578</f>
        <v>109278578</v>
      </c>
      <c r="J16" s="50">
        <f>113790865</f>
        <v>113790865</v>
      </c>
      <c r="K16" s="50">
        <f>116323018</f>
        <v>116323018</v>
      </c>
      <c r="L16" s="50">
        <f>118873474</f>
        <v>118873474</v>
      </c>
      <c r="M16" s="50">
        <f>120889180</f>
        <v>120889180</v>
      </c>
      <c r="N16" s="50">
        <f>123681410</f>
        <v>123681410</v>
      </c>
      <c r="O16" s="50">
        <f>124047195</f>
        <v>124047195</v>
      </c>
      <c r="P16" s="50">
        <f>127038375</f>
        <v>127038375</v>
      </c>
      <c r="Q16" s="50">
        <f>130156834</f>
        <v>130156834</v>
      </c>
      <c r="R16" s="50">
        <f>133354505</f>
        <v>133354505</v>
      </c>
      <c r="S16" s="50">
        <f>136583368</f>
        <v>136583368</v>
      </c>
      <c r="T16" s="50">
        <f>139945452</f>
        <v>139945452</v>
      </c>
      <c r="U16" s="50">
        <f>143432838</f>
        <v>143432838</v>
      </c>
      <c r="V16" s="50">
        <f>146997659</f>
        <v>146997659</v>
      </c>
    </row>
    <row r="17" spans="1:22" ht="16.5" customHeight="1">
      <c r="A17" s="44" t="s">
        <v>85</v>
      </c>
      <c r="B17" s="45" t="s">
        <v>86</v>
      </c>
      <c r="C17" s="46">
        <f>0</f>
        <v>0</v>
      </c>
      <c r="D17" s="47">
        <f>0</f>
        <v>0</v>
      </c>
      <c r="E17" s="47">
        <f>258000</f>
        <v>258000</v>
      </c>
      <c r="F17" s="48">
        <f>0</f>
        <v>0</v>
      </c>
      <c r="G17" s="49">
        <f>250000</f>
        <v>250000</v>
      </c>
      <c r="H17" s="50">
        <f>488317</f>
        <v>488317</v>
      </c>
      <c r="I17" s="50">
        <f>490251</f>
        <v>490251</v>
      </c>
      <c r="J17" s="50">
        <f>2850000</f>
        <v>2850000</v>
      </c>
      <c r="K17" s="50">
        <f>2800000</f>
        <v>2800000</v>
      </c>
      <c r="L17" s="50">
        <f>2700000</f>
        <v>2700000</v>
      </c>
      <c r="M17" s="50">
        <f>2600000</f>
        <v>2600000</v>
      </c>
      <c r="N17" s="50">
        <f>2550000</f>
        <v>2550000</v>
      </c>
      <c r="O17" s="50">
        <f>0</f>
        <v>0</v>
      </c>
      <c r="P17" s="50">
        <f>0</f>
        <v>0</v>
      </c>
      <c r="Q17" s="50">
        <f>0</f>
        <v>0</v>
      </c>
      <c r="R17" s="50">
        <f>0</f>
        <v>0</v>
      </c>
      <c r="S17" s="50">
        <f>0</f>
        <v>0</v>
      </c>
      <c r="T17" s="50">
        <f>0</f>
        <v>0</v>
      </c>
      <c r="U17" s="50">
        <f>0</f>
        <v>0</v>
      </c>
      <c r="V17" s="50">
        <f>0</f>
        <v>0</v>
      </c>
    </row>
    <row r="18" spans="1:22" ht="57.75" customHeight="1">
      <c r="A18" s="44" t="s">
        <v>87</v>
      </c>
      <c r="B18" s="45" t="s">
        <v>88</v>
      </c>
      <c r="C18" s="46">
        <f>0</f>
        <v>0</v>
      </c>
      <c r="D18" s="47">
        <f>0</f>
        <v>0</v>
      </c>
      <c r="E18" s="47">
        <f>0</f>
        <v>0</v>
      </c>
      <c r="F18" s="48">
        <f>0</f>
        <v>0</v>
      </c>
      <c r="G18" s="49">
        <f>0</f>
        <v>0</v>
      </c>
      <c r="H18" s="50">
        <f>0</f>
        <v>0</v>
      </c>
      <c r="I18" s="50">
        <f>0</f>
        <v>0</v>
      </c>
      <c r="J18" s="50">
        <f>0</f>
        <v>0</v>
      </c>
      <c r="K18" s="50">
        <f>0</f>
        <v>0</v>
      </c>
      <c r="L18" s="50">
        <f>0</f>
        <v>0</v>
      </c>
      <c r="M18" s="50">
        <f>0</f>
        <v>0</v>
      </c>
      <c r="N18" s="50">
        <f>0</f>
        <v>0</v>
      </c>
      <c r="O18" s="50">
        <f>0</f>
        <v>0</v>
      </c>
      <c r="P18" s="50">
        <f>0</f>
        <v>0</v>
      </c>
      <c r="Q18" s="50">
        <f>0</f>
        <v>0</v>
      </c>
      <c r="R18" s="50">
        <f>0</f>
        <v>0</v>
      </c>
      <c r="S18" s="50">
        <f>0</f>
        <v>0</v>
      </c>
      <c r="T18" s="50">
        <f>0</f>
        <v>0</v>
      </c>
      <c r="U18" s="50">
        <f>0</f>
        <v>0</v>
      </c>
      <c r="V18" s="50">
        <f>0</f>
        <v>0</v>
      </c>
    </row>
    <row r="19" spans="1:22" ht="93.75" customHeight="1">
      <c r="A19" s="44" t="s">
        <v>89</v>
      </c>
      <c r="B19" s="45" t="s">
        <v>90</v>
      </c>
      <c r="C19" s="46">
        <f>26272807.64</f>
        <v>26272807.640000001</v>
      </c>
      <c r="D19" s="47">
        <f>1050926.47</f>
        <v>1050926.47</v>
      </c>
      <c r="E19" s="47">
        <f>2233505</f>
        <v>2233505</v>
      </c>
      <c r="F19" s="48">
        <f>2233504.87</f>
        <v>2233504.87</v>
      </c>
      <c r="G19" s="49">
        <f>0</f>
        <v>0</v>
      </c>
      <c r="H19" s="50">
        <f>0</f>
        <v>0</v>
      </c>
      <c r="I19" s="50">
        <f>0</f>
        <v>0</v>
      </c>
      <c r="J19" s="50">
        <f>0</f>
        <v>0</v>
      </c>
      <c r="K19" s="50">
        <f>0</f>
        <v>0</v>
      </c>
      <c r="L19" s="50">
        <f>0</f>
        <v>0</v>
      </c>
      <c r="M19" s="50">
        <f>0</f>
        <v>0</v>
      </c>
      <c r="N19" s="50">
        <f>0</f>
        <v>0</v>
      </c>
      <c r="O19" s="50">
        <f>0</f>
        <v>0</v>
      </c>
      <c r="P19" s="50">
        <f>0</f>
        <v>0</v>
      </c>
      <c r="Q19" s="50">
        <f>0</f>
        <v>0</v>
      </c>
      <c r="R19" s="50">
        <f>0</f>
        <v>0</v>
      </c>
      <c r="S19" s="50">
        <f>0</f>
        <v>0</v>
      </c>
      <c r="T19" s="50">
        <f>0</f>
        <v>0</v>
      </c>
      <c r="U19" s="50">
        <f>0</f>
        <v>0</v>
      </c>
      <c r="V19" s="50">
        <f>0</f>
        <v>0</v>
      </c>
    </row>
    <row r="20" spans="1:22" ht="17.25" customHeight="1">
      <c r="A20" s="44" t="s">
        <v>91</v>
      </c>
      <c r="B20" s="45" t="s">
        <v>92</v>
      </c>
      <c r="C20" s="46">
        <f>1988239.37</f>
        <v>1988239.37</v>
      </c>
      <c r="D20" s="47">
        <f>1898918.19</f>
        <v>1898918.19</v>
      </c>
      <c r="E20" s="47">
        <f>1584150</f>
        <v>1584150</v>
      </c>
      <c r="F20" s="48">
        <f>1296684.51</f>
        <v>1296684.51</v>
      </c>
      <c r="G20" s="49">
        <f>1350000</f>
        <v>1350000</v>
      </c>
      <c r="H20" s="50">
        <f>1300000</f>
        <v>1300000</v>
      </c>
      <c r="I20" s="50">
        <f>1200000</f>
        <v>1200000</v>
      </c>
      <c r="J20" s="50">
        <f>1000000</f>
        <v>1000000</v>
      </c>
      <c r="K20" s="50">
        <f>850000</f>
        <v>850000</v>
      </c>
      <c r="L20" s="50">
        <f>700000</f>
        <v>700000</v>
      </c>
      <c r="M20" s="50">
        <f>600000</f>
        <v>600000</v>
      </c>
      <c r="N20" s="50">
        <f>500000</f>
        <v>500000</v>
      </c>
      <c r="O20" s="50">
        <f>400000</f>
        <v>400000</v>
      </c>
      <c r="P20" s="50">
        <f>300000</f>
        <v>300000</v>
      </c>
      <c r="Q20" s="50">
        <f>250000</f>
        <v>250000</v>
      </c>
      <c r="R20" s="50">
        <f>200000</f>
        <v>200000</v>
      </c>
      <c r="S20" s="50">
        <f>100000</f>
        <v>100000</v>
      </c>
      <c r="T20" s="50">
        <f>50000</f>
        <v>50000</v>
      </c>
      <c r="U20" s="50">
        <f>40000</f>
        <v>40000</v>
      </c>
      <c r="V20" s="50">
        <f>20000</f>
        <v>20000</v>
      </c>
    </row>
    <row r="21" spans="1:22" ht="30" customHeight="1">
      <c r="A21" s="44" t="s">
        <v>93</v>
      </c>
      <c r="B21" s="45" t="s">
        <v>94</v>
      </c>
      <c r="C21" s="46">
        <f>1988239.37</f>
        <v>1988239.37</v>
      </c>
      <c r="D21" s="47">
        <f>1898918.19</f>
        <v>1898918.19</v>
      </c>
      <c r="E21" s="47">
        <f>1584150</f>
        <v>1584150</v>
      </c>
      <c r="F21" s="48">
        <f>1296684.51</f>
        <v>1296684.51</v>
      </c>
      <c r="G21" s="49">
        <f>1350000</f>
        <v>1350000</v>
      </c>
      <c r="H21" s="50">
        <f>1300000</f>
        <v>1300000</v>
      </c>
      <c r="I21" s="50">
        <f>1200000</f>
        <v>1200000</v>
      </c>
      <c r="J21" s="50">
        <f>1000000</f>
        <v>1000000</v>
      </c>
      <c r="K21" s="50">
        <f>850000</f>
        <v>850000</v>
      </c>
      <c r="L21" s="50">
        <f>700000</f>
        <v>700000</v>
      </c>
      <c r="M21" s="50">
        <f>600000</f>
        <v>600000</v>
      </c>
      <c r="N21" s="50">
        <f>500000</f>
        <v>500000</v>
      </c>
      <c r="O21" s="50">
        <f>400000</f>
        <v>400000</v>
      </c>
      <c r="P21" s="50">
        <f>300000</f>
        <v>300000</v>
      </c>
      <c r="Q21" s="50">
        <f>250000</f>
        <v>250000</v>
      </c>
      <c r="R21" s="50">
        <f>200000</f>
        <v>200000</v>
      </c>
      <c r="S21" s="50">
        <f>100000</f>
        <v>100000</v>
      </c>
      <c r="T21" s="50">
        <f>50000</f>
        <v>50000</v>
      </c>
      <c r="U21" s="50">
        <f>40000</f>
        <v>40000</v>
      </c>
      <c r="V21" s="50">
        <f>20000</f>
        <v>20000</v>
      </c>
    </row>
    <row r="22" spans="1:22" ht="107.25" customHeight="1">
      <c r="A22" s="44" t="s">
        <v>95</v>
      </c>
      <c r="B22" s="45" t="s">
        <v>96</v>
      </c>
      <c r="C22" s="46">
        <f>0</f>
        <v>0</v>
      </c>
      <c r="D22" s="47">
        <f>0</f>
        <v>0</v>
      </c>
      <c r="E22" s="47">
        <f>0</f>
        <v>0</v>
      </c>
      <c r="F22" s="48">
        <f>0</f>
        <v>0</v>
      </c>
      <c r="G22" s="49">
        <f>0</f>
        <v>0</v>
      </c>
      <c r="H22" s="50">
        <f>0</f>
        <v>0</v>
      </c>
      <c r="I22" s="50">
        <f>0</f>
        <v>0</v>
      </c>
      <c r="J22" s="50">
        <f>0</f>
        <v>0</v>
      </c>
      <c r="K22" s="50">
        <f>0</f>
        <v>0</v>
      </c>
      <c r="L22" s="50">
        <f>0</f>
        <v>0</v>
      </c>
      <c r="M22" s="50">
        <f>0</f>
        <v>0</v>
      </c>
      <c r="N22" s="50">
        <f>0</f>
        <v>0</v>
      </c>
      <c r="O22" s="50">
        <f>0</f>
        <v>0</v>
      </c>
      <c r="P22" s="50">
        <f>0</f>
        <v>0</v>
      </c>
      <c r="Q22" s="50">
        <f>0</f>
        <v>0</v>
      </c>
      <c r="R22" s="50">
        <f>0</f>
        <v>0</v>
      </c>
      <c r="S22" s="50">
        <f>0</f>
        <v>0</v>
      </c>
      <c r="T22" s="50">
        <f>0</f>
        <v>0</v>
      </c>
      <c r="U22" s="50">
        <f>0</f>
        <v>0</v>
      </c>
      <c r="V22" s="50">
        <f>0</f>
        <v>0</v>
      </c>
    </row>
    <row r="23" spans="1:22" ht="65.25" customHeight="1">
      <c r="A23" s="44" t="s">
        <v>97</v>
      </c>
      <c r="B23" s="45" t="s">
        <v>98</v>
      </c>
      <c r="C23" s="46">
        <f>0</f>
        <v>0</v>
      </c>
      <c r="D23" s="47">
        <f>0</f>
        <v>0</v>
      </c>
      <c r="E23" s="47">
        <f>0</f>
        <v>0</v>
      </c>
      <c r="F23" s="48">
        <f>0</f>
        <v>0</v>
      </c>
      <c r="G23" s="49">
        <f>0</f>
        <v>0</v>
      </c>
      <c r="H23" s="50">
        <f>0</f>
        <v>0</v>
      </c>
      <c r="I23" s="50">
        <f>0</f>
        <v>0</v>
      </c>
      <c r="J23" s="50">
        <f>0</f>
        <v>0</v>
      </c>
      <c r="K23" s="50">
        <f>0</f>
        <v>0</v>
      </c>
      <c r="L23" s="50">
        <f>0</f>
        <v>0</v>
      </c>
      <c r="M23" s="50">
        <f>0</f>
        <v>0</v>
      </c>
      <c r="N23" s="50">
        <f>0</f>
        <v>0</v>
      </c>
      <c r="O23" s="50">
        <f>0</f>
        <v>0</v>
      </c>
      <c r="P23" s="50">
        <f>0</f>
        <v>0</v>
      </c>
      <c r="Q23" s="50">
        <f>0</f>
        <v>0</v>
      </c>
      <c r="R23" s="50">
        <f>0</f>
        <v>0</v>
      </c>
      <c r="S23" s="50">
        <f>0</f>
        <v>0</v>
      </c>
      <c r="T23" s="50">
        <f>0</f>
        <v>0</v>
      </c>
      <c r="U23" s="50">
        <f>0</f>
        <v>0</v>
      </c>
      <c r="V23" s="50">
        <f>0</f>
        <v>0</v>
      </c>
    </row>
    <row r="24" spans="1:22" ht="16.5" customHeight="1">
      <c r="A24" s="44" t="s">
        <v>99</v>
      </c>
      <c r="B24" s="45" t="s">
        <v>100</v>
      </c>
      <c r="C24" s="46">
        <f>5980150.66</f>
        <v>5980150.6600000001</v>
      </c>
      <c r="D24" s="47">
        <f>7491497.06</f>
        <v>7491497.0599999996</v>
      </c>
      <c r="E24" s="47">
        <f>6851287</f>
        <v>6851287</v>
      </c>
      <c r="F24" s="48">
        <f>6902836.85</f>
        <v>6902836.8499999996</v>
      </c>
      <c r="G24" s="49">
        <f>13072400</f>
        <v>13072400</v>
      </c>
      <c r="H24" s="50">
        <f>15914916</f>
        <v>15914916</v>
      </c>
      <c r="I24" s="50">
        <f>17694871</f>
        <v>17694871</v>
      </c>
      <c r="J24" s="50">
        <f>7786076</f>
        <v>7786076</v>
      </c>
      <c r="K24" s="50">
        <f>10240200</f>
        <v>10240200</v>
      </c>
      <c r="L24" s="50">
        <f>13375236</f>
        <v>13375236</v>
      </c>
      <c r="M24" s="50">
        <f>15780705</f>
        <v>15780705</v>
      </c>
      <c r="N24" s="50">
        <f>18285667</f>
        <v>18285667</v>
      </c>
      <c r="O24" s="50">
        <f>22589112</f>
        <v>22589112</v>
      </c>
      <c r="P24" s="50">
        <f>24166260</f>
        <v>24166260</v>
      </c>
      <c r="Q24" s="50">
        <f>26347700</f>
        <v>26347700</v>
      </c>
      <c r="R24" s="50">
        <f>27737960</f>
        <v>27737960</v>
      </c>
      <c r="S24" s="50">
        <f>29230078</f>
        <v>29230078</v>
      </c>
      <c r="T24" s="50">
        <f>32058370</f>
        <v>32058370</v>
      </c>
      <c r="U24" s="50">
        <f>33392691</f>
        <v>33392691</v>
      </c>
      <c r="V24" s="50">
        <f>34784585</f>
        <v>34784585</v>
      </c>
    </row>
    <row r="25" spans="1:22" ht="16.5" customHeight="1">
      <c r="A25" s="37">
        <v>3</v>
      </c>
      <c r="B25" s="38" t="s">
        <v>101</v>
      </c>
      <c r="C25" s="39">
        <f>-15165582.93</f>
        <v>-15165582.93</v>
      </c>
      <c r="D25" s="40">
        <f>4705371.69</f>
        <v>4705371.6900000004</v>
      </c>
      <c r="E25" s="40">
        <f>-1821539</f>
        <v>-1821539</v>
      </c>
      <c r="F25" s="41">
        <f>2497259.53</f>
        <v>2497259.5299999998</v>
      </c>
      <c r="G25" s="42">
        <f>-357759</f>
        <v>-357759</v>
      </c>
      <c r="H25" s="43">
        <f>6677276</f>
        <v>6677276</v>
      </c>
      <c r="I25" s="43">
        <f>6510929</f>
        <v>6510929</v>
      </c>
      <c r="J25" s="43">
        <f>5388276</f>
        <v>5388276</v>
      </c>
      <c r="K25" s="43">
        <f>4414612</f>
        <v>4414612</v>
      </c>
      <c r="L25" s="43">
        <f>3342000</f>
        <v>3342000</v>
      </c>
      <c r="M25" s="43">
        <f>3442000</f>
        <v>3442000</v>
      </c>
      <c r="N25" s="43">
        <f>2692000</f>
        <v>2692000</v>
      </c>
      <c r="O25" s="43">
        <f>2692000</f>
        <v>2692000</v>
      </c>
      <c r="P25" s="43">
        <f>2692000</f>
        <v>2692000</v>
      </c>
      <c r="Q25" s="43">
        <f>1900000</f>
        <v>1900000</v>
      </c>
      <c r="R25" s="43">
        <f>1900000</f>
        <v>1900000</v>
      </c>
      <c r="S25" s="43">
        <f>1900000</f>
        <v>1900000</v>
      </c>
      <c r="T25" s="43">
        <f>400000</f>
        <v>400000</v>
      </c>
      <c r="U25" s="43">
        <f>400000</f>
        <v>400000</v>
      </c>
      <c r="V25" s="43">
        <f>400000</f>
        <v>400000</v>
      </c>
    </row>
    <row r="26" spans="1:22" ht="16.5" customHeight="1">
      <c r="A26" s="37">
        <v>4</v>
      </c>
      <c r="B26" s="38" t="s">
        <v>102</v>
      </c>
      <c r="C26" s="39">
        <f>27033687.38</f>
        <v>27033687.379999999</v>
      </c>
      <c r="D26" s="40">
        <f>5622331.57</f>
        <v>5622331.5700000003</v>
      </c>
      <c r="E26" s="40">
        <f>9078720</f>
        <v>9078720</v>
      </c>
      <c r="F26" s="41">
        <f>8236671.26</f>
        <v>8236671.2599999998</v>
      </c>
      <c r="G26" s="42">
        <f>7587082</f>
        <v>7587082</v>
      </c>
      <c r="H26" s="43">
        <f>0</f>
        <v>0</v>
      </c>
      <c r="I26" s="43">
        <f>0</f>
        <v>0</v>
      </c>
      <c r="J26" s="43">
        <f>0</f>
        <v>0</v>
      </c>
      <c r="K26" s="43">
        <f>0</f>
        <v>0</v>
      </c>
      <c r="L26" s="43">
        <f>0</f>
        <v>0</v>
      </c>
      <c r="M26" s="43">
        <f>0</f>
        <v>0</v>
      </c>
      <c r="N26" s="43">
        <f>0</f>
        <v>0</v>
      </c>
      <c r="O26" s="43">
        <f>0</f>
        <v>0</v>
      </c>
      <c r="P26" s="43">
        <f>0</f>
        <v>0</v>
      </c>
      <c r="Q26" s="43">
        <f>0</f>
        <v>0</v>
      </c>
      <c r="R26" s="43">
        <f>0</f>
        <v>0</v>
      </c>
      <c r="S26" s="43">
        <f>0</f>
        <v>0</v>
      </c>
      <c r="T26" s="43">
        <f>0</f>
        <v>0</v>
      </c>
      <c r="U26" s="43">
        <f>0</f>
        <v>0</v>
      </c>
      <c r="V26" s="43">
        <f>0</f>
        <v>0</v>
      </c>
    </row>
    <row r="27" spans="1:22" ht="17.25" customHeight="1">
      <c r="A27" s="44" t="s">
        <v>103</v>
      </c>
      <c r="B27" s="45" t="s">
        <v>104</v>
      </c>
      <c r="C27" s="46">
        <f>0</f>
        <v>0</v>
      </c>
      <c r="D27" s="47">
        <f>0</f>
        <v>0</v>
      </c>
      <c r="E27" s="47">
        <f>0</f>
        <v>0</v>
      </c>
      <c r="F27" s="48">
        <f>0</f>
        <v>0</v>
      </c>
      <c r="G27" s="49">
        <f>0</f>
        <v>0</v>
      </c>
      <c r="H27" s="50">
        <f>0</f>
        <v>0</v>
      </c>
      <c r="I27" s="50">
        <f>0</f>
        <v>0</v>
      </c>
      <c r="J27" s="50">
        <f>0</f>
        <v>0</v>
      </c>
      <c r="K27" s="50">
        <f>0</f>
        <v>0</v>
      </c>
      <c r="L27" s="50">
        <f>0</f>
        <v>0</v>
      </c>
      <c r="M27" s="50">
        <f>0</f>
        <v>0</v>
      </c>
      <c r="N27" s="50">
        <f>0</f>
        <v>0</v>
      </c>
      <c r="O27" s="50">
        <f>0</f>
        <v>0</v>
      </c>
      <c r="P27" s="50">
        <f>0</f>
        <v>0</v>
      </c>
      <c r="Q27" s="50">
        <f>0</f>
        <v>0</v>
      </c>
      <c r="R27" s="50">
        <f>0</f>
        <v>0</v>
      </c>
      <c r="S27" s="50">
        <f>0</f>
        <v>0</v>
      </c>
      <c r="T27" s="50">
        <f>0</f>
        <v>0</v>
      </c>
      <c r="U27" s="50">
        <f>0</f>
        <v>0</v>
      </c>
      <c r="V27" s="50">
        <f>0</f>
        <v>0</v>
      </c>
    </row>
    <row r="28" spans="1:22" ht="17.25" customHeight="1">
      <c r="A28" s="44" t="s">
        <v>105</v>
      </c>
      <c r="B28" s="45" t="s">
        <v>106</v>
      </c>
      <c r="C28" s="46">
        <f>0</f>
        <v>0</v>
      </c>
      <c r="D28" s="47">
        <f>0</f>
        <v>0</v>
      </c>
      <c r="E28" s="47">
        <f>0</f>
        <v>0</v>
      </c>
      <c r="F28" s="48">
        <f>0</f>
        <v>0</v>
      </c>
      <c r="G28" s="49">
        <f>0</f>
        <v>0</v>
      </c>
      <c r="H28" s="50">
        <f>0</f>
        <v>0</v>
      </c>
      <c r="I28" s="50">
        <f>0</f>
        <v>0</v>
      </c>
      <c r="J28" s="50">
        <f>0</f>
        <v>0</v>
      </c>
      <c r="K28" s="50">
        <f>0</f>
        <v>0</v>
      </c>
      <c r="L28" s="50">
        <f>0</f>
        <v>0</v>
      </c>
      <c r="M28" s="50">
        <f>0</f>
        <v>0</v>
      </c>
      <c r="N28" s="50">
        <f>0</f>
        <v>0</v>
      </c>
      <c r="O28" s="50">
        <f>0</f>
        <v>0</v>
      </c>
      <c r="P28" s="50">
        <f>0</f>
        <v>0</v>
      </c>
      <c r="Q28" s="50">
        <f>0</f>
        <v>0</v>
      </c>
      <c r="R28" s="50">
        <f>0</f>
        <v>0</v>
      </c>
      <c r="S28" s="50">
        <f>0</f>
        <v>0</v>
      </c>
      <c r="T28" s="50">
        <f>0</f>
        <v>0</v>
      </c>
      <c r="U28" s="50">
        <f>0</f>
        <v>0</v>
      </c>
      <c r="V28" s="50">
        <f>0</f>
        <v>0</v>
      </c>
    </row>
    <row r="29" spans="1:22" ht="30" customHeight="1">
      <c r="A29" s="44" t="s">
        <v>107</v>
      </c>
      <c r="B29" s="45" t="s">
        <v>108</v>
      </c>
      <c r="C29" s="46">
        <f>2033687.38</f>
        <v>2033687.38</v>
      </c>
      <c r="D29" s="47">
        <f>5602899.41</f>
        <v>5602899.4100000001</v>
      </c>
      <c r="E29" s="47">
        <f>3078720</f>
        <v>3078720</v>
      </c>
      <c r="F29" s="48">
        <f>3276671.26</f>
        <v>3276671.26</v>
      </c>
      <c r="G29" s="49">
        <f>3387082</f>
        <v>3387082</v>
      </c>
      <c r="H29" s="50">
        <f>0</f>
        <v>0</v>
      </c>
      <c r="I29" s="50">
        <f>0</f>
        <v>0</v>
      </c>
      <c r="J29" s="50">
        <f>0</f>
        <v>0</v>
      </c>
      <c r="K29" s="50">
        <f>0</f>
        <v>0</v>
      </c>
      <c r="L29" s="50">
        <f>0</f>
        <v>0</v>
      </c>
      <c r="M29" s="50">
        <f>0</f>
        <v>0</v>
      </c>
      <c r="N29" s="50">
        <f>0</f>
        <v>0</v>
      </c>
      <c r="O29" s="50">
        <f>0</f>
        <v>0</v>
      </c>
      <c r="P29" s="50">
        <f>0</f>
        <v>0</v>
      </c>
      <c r="Q29" s="50">
        <f>0</f>
        <v>0</v>
      </c>
      <c r="R29" s="50">
        <f>0</f>
        <v>0</v>
      </c>
      <c r="S29" s="50">
        <f>0</f>
        <v>0</v>
      </c>
      <c r="T29" s="50">
        <f>0</f>
        <v>0</v>
      </c>
      <c r="U29" s="50">
        <f>0</f>
        <v>0</v>
      </c>
      <c r="V29" s="50">
        <f>0</f>
        <v>0</v>
      </c>
    </row>
    <row r="30" spans="1:22" ht="17.25" customHeight="1">
      <c r="A30" s="44" t="s">
        <v>109</v>
      </c>
      <c r="B30" s="45" t="s">
        <v>106</v>
      </c>
      <c r="C30" s="46">
        <f>0</f>
        <v>0</v>
      </c>
      <c r="D30" s="47">
        <f>0</f>
        <v>0</v>
      </c>
      <c r="E30" s="47">
        <f>0</f>
        <v>0</v>
      </c>
      <c r="F30" s="48">
        <f>0</f>
        <v>0</v>
      </c>
      <c r="G30" s="49">
        <f>0</f>
        <v>0</v>
      </c>
      <c r="H30" s="50">
        <f>0</f>
        <v>0</v>
      </c>
      <c r="I30" s="50">
        <f>0</f>
        <v>0</v>
      </c>
      <c r="J30" s="50">
        <f>0</f>
        <v>0</v>
      </c>
      <c r="K30" s="50">
        <f>0</f>
        <v>0</v>
      </c>
      <c r="L30" s="50">
        <f>0</f>
        <v>0</v>
      </c>
      <c r="M30" s="50">
        <f>0</f>
        <v>0</v>
      </c>
      <c r="N30" s="50">
        <f>0</f>
        <v>0</v>
      </c>
      <c r="O30" s="50">
        <f>0</f>
        <v>0</v>
      </c>
      <c r="P30" s="50">
        <f>0</f>
        <v>0</v>
      </c>
      <c r="Q30" s="50">
        <f>0</f>
        <v>0</v>
      </c>
      <c r="R30" s="50">
        <f>0</f>
        <v>0</v>
      </c>
      <c r="S30" s="50">
        <f>0</f>
        <v>0</v>
      </c>
      <c r="T30" s="50">
        <f>0</f>
        <v>0</v>
      </c>
      <c r="U30" s="50">
        <f>0</f>
        <v>0</v>
      </c>
      <c r="V30" s="50">
        <f>0</f>
        <v>0</v>
      </c>
    </row>
    <row r="31" spans="1:22" ht="30" customHeight="1">
      <c r="A31" s="44" t="s">
        <v>110</v>
      </c>
      <c r="B31" s="45" t="s">
        <v>111</v>
      </c>
      <c r="C31" s="46">
        <f>25000000</f>
        <v>25000000</v>
      </c>
      <c r="D31" s="47">
        <f>0</f>
        <v>0</v>
      </c>
      <c r="E31" s="47">
        <f>6000000</f>
        <v>6000000</v>
      </c>
      <c r="F31" s="48">
        <f>4960000</f>
        <v>4960000</v>
      </c>
      <c r="G31" s="49">
        <f>4200000</f>
        <v>4200000</v>
      </c>
      <c r="H31" s="50">
        <f>0</f>
        <v>0</v>
      </c>
      <c r="I31" s="50">
        <f>0</f>
        <v>0</v>
      </c>
      <c r="J31" s="50">
        <f>0</f>
        <v>0</v>
      </c>
      <c r="K31" s="50">
        <f>0</f>
        <v>0</v>
      </c>
      <c r="L31" s="50">
        <f>0</f>
        <v>0</v>
      </c>
      <c r="M31" s="50">
        <f>0</f>
        <v>0</v>
      </c>
      <c r="N31" s="50">
        <f>0</f>
        <v>0</v>
      </c>
      <c r="O31" s="50">
        <f>0</f>
        <v>0</v>
      </c>
      <c r="P31" s="50">
        <f>0</f>
        <v>0</v>
      </c>
      <c r="Q31" s="50">
        <f>0</f>
        <v>0</v>
      </c>
      <c r="R31" s="50">
        <f>0</f>
        <v>0</v>
      </c>
      <c r="S31" s="50">
        <f>0</f>
        <v>0</v>
      </c>
      <c r="T31" s="50">
        <f>0</f>
        <v>0</v>
      </c>
      <c r="U31" s="50">
        <f>0</f>
        <v>0</v>
      </c>
      <c r="V31" s="50">
        <f>0</f>
        <v>0</v>
      </c>
    </row>
    <row r="32" spans="1:22" ht="17.25" customHeight="1">
      <c r="A32" s="44" t="s">
        <v>112</v>
      </c>
      <c r="B32" s="45" t="s">
        <v>106</v>
      </c>
      <c r="C32" s="46">
        <f>15165582.93</f>
        <v>15165582.93</v>
      </c>
      <c r="D32" s="47">
        <f>0</f>
        <v>0</v>
      </c>
      <c r="E32" s="47">
        <f>1821539</f>
        <v>1821539</v>
      </c>
      <c r="F32" s="48">
        <f>0</f>
        <v>0</v>
      </c>
      <c r="G32" s="49">
        <f>357759</f>
        <v>357759</v>
      </c>
      <c r="H32" s="50">
        <f>0</f>
        <v>0</v>
      </c>
      <c r="I32" s="50">
        <f>0</f>
        <v>0</v>
      </c>
      <c r="J32" s="50">
        <f>0</f>
        <v>0</v>
      </c>
      <c r="K32" s="50">
        <f>0</f>
        <v>0</v>
      </c>
      <c r="L32" s="50">
        <f>0</f>
        <v>0</v>
      </c>
      <c r="M32" s="50">
        <f>0</f>
        <v>0</v>
      </c>
      <c r="N32" s="50">
        <f>0</f>
        <v>0</v>
      </c>
      <c r="O32" s="50">
        <f>0</f>
        <v>0</v>
      </c>
      <c r="P32" s="50">
        <f>0</f>
        <v>0</v>
      </c>
      <c r="Q32" s="50">
        <f>0</f>
        <v>0</v>
      </c>
      <c r="R32" s="50">
        <f>0</f>
        <v>0</v>
      </c>
      <c r="S32" s="50">
        <f>0</f>
        <v>0</v>
      </c>
      <c r="T32" s="50">
        <f>0</f>
        <v>0</v>
      </c>
      <c r="U32" s="50">
        <f>0</f>
        <v>0</v>
      </c>
      <c r="V32" s="50">
        <f>0</f>
        <v>0</v>
      </c>
    </row>
    <row r="33" spans="1:22" ht="28.5" customHeight="1">
      <c r="A33" s="44" t="s">
        <v>113</v>
      </c>
      <c r="B33" s="45" t="s">
        <v>114</v>
      </c>
      <c r="C33" s="46">
        <f>0</f>
        <v>0</v>
      </c>
      <c r="D33" s="47">
        <f>19432.16</f>
        <v>19432.16</v>
      </c>
      <c r="E33" s="47">
        <f>0</f>
        <v>0</v>
      </c>
      <c r="F33" s="48">
        <f>0</f>
        <v>0</v>
      </c>
      <c r="G33" s="49">
        <f>0</f>
        <v>0</v>
      </c>
      <c r="H33" s="50">
        <f>0</f>
        <v>0</v>
      </c>
      <c r="I33" s="50">
        <f>0</f>
        <v>0</v>
      </c>
      <c r="J33" s="50">
        <f>0</f>
        <v>0</v>
      </c>
      <c r="K33" s="50">
        <f>0</f>
        <v>0</v>
      </c>
      <c r="L33" s="50">
        <f>0</f>
        <v>0</v>
      </c>
      <c r="M33" s="50">
        <f>0</f>
        <v>0</v>
      </c>
      <c r="N33" s="50">
        <f>0</f>
        <v>0</v>
      </c>
      <c r="O33" s="50">
        <f>0</f>
        <v>0</v>
      </c>
      <c r="P33" s="50">
        <f>0</f>
        <v>0</v>
      </c>
      <c r="Q33" s="50">
        <f>0</f>
        <v>0</v>
      </c>
      <c r="R33" s="50">
        <f>0</f>
        <v>0</v>
      </c>
      <c r="S33" s="50">
        <f>0</f>
        <v>0</v>
      </c>
      <c r="T33" s="50">
        <f>0</f>
        <v>0</v>
      </c>
      <c r="U33" s="50">
        <f>0</f>
        <v>0</v>
      </c>
      <c r="V33" s="50">
        <f>0</f>
        <v>0</v>
      </c>
    </row>
    <row r="34" spans="1:22" ht="17.25" customHeight="1">
      <c r="A34" s="44" t="s">
        <v>115</v>
      </c>
      <c r="B34" s="45" t="s">
        <v>106</v>
      </c>
      <c r="C34" s="46">
        <f>0</f>
        <v>0</v>
      </c>
      <c r="D34" s="47">
        <f>0</f>
        <v>0</v>
      </c>
      <c r="E34" s="47">
        <f>0</f>
        <v>0</v>
      </c>
      <c r="F34" s="48">
        <f>0</f>
        <v>0</v>
      </c>
      <c r="G34" s="49">
        <f>0</f>
        <v>0</v>
      </c>
      <c r="H34" s="50">
        <f>0</f>
        <v>0</v>
      </c>
      <c r="I34" s="50">
        <f>0</f>
        <v>0</v>
      </c>
      <c r="J34" s="50">
        <f>0</f>
        <v>0</v>
      </c>
      <c r="K34" s="50">
        <f>0</f>
        <v>0</v>
      </c>
      <c r="L34" s="50">
        <f>0</f>
        <v>0</v>
      </c>
      <c r="M34" s="50">
        <f>0</f>
        <v>0</v>
      </c>
      <c r="N34" s="50">
        <f>0</f>
        <v>0</v>
      </c>
      <c r="O34" s="50">
        <f>0</f>
        <v>0</v>
      </c>
      <c r="P34" s="50">
        <f>0</f>
        <v>0</v>
      </c>
      <c r="Q34" s="50">
        <f>0</f>
        <v>0</v>
      </c>
      <c r="R34" s="50">
        <f>0</f>
        <v>0</v>
      </c>
      <c r="S34" s="50">
        <f>0</f>
        <v>0</v>
      </c>
      <c r="T34" s="50">
        <f>0</f>
        <v>0</v>
      </c>
      <c r="U34" s="50">
        <f>0</f>
        <v>0</v>
      </c>
      <c r="V34" s="50">
        <f>0</f>
        <v>0</v>
      </c>
    </row>
    <row r="35" spans="1:22" ht="17.25" customHeight="1">
      <c r="A35" s="37">
        <v>5</v>
      </c>
      <c r="B35" s="38" t="s">
        <v>116</v>
      </c>
      <c r="C35" s="39">
        <f>5654557</f>
        <v>5654557</v>
      </c>
      <c r="D35" s="40">
        <f>7051032</f>
        <v>7051032</v>
      </c>
      <c r="E35" s="40">
        <f>7257181</f>
        <v>7257181</v>
      </c>
      <c r="F35" s="41">
        <f>7257180.85</f>
        <v>7257180.8499999996</v>
      </c>
      <c r="G35" s="42">
        <f>7229323</f>
        <v>7229323</v>
      </c>
      <c r="H35" s="43">
        <f>6677276</f>
        <v>6677276</v>
      </c>
      <c r="I35" s="43">
        <f>6510929</f>
        <v>6510929</v>
      </c>
      <c r="J35" s="43">
        <f>5388276</f>
        <v>5388276</v>
      </c>
      <c r="K35" s="43">
        <f>4414612</f>
        <v>4414612</v>
      </c>
      <c r="L35" s="43">
        <f>3342000</f>
        <v>3342000</v>
      </c>
      <c r="M35" s="43">
        <f>3442000</f>
        <v>3442000</v>
      </c>
      <c r="N35" s="43">
        <f t="shared" ref="N35:P36" si="3">2692000</f>
        <v>2692000</v>
      </c>
      <c r="O35" s="43">
        <f t="shared" si="3"/>
        <v>2692000</v>
      </c>
      <c r="P35" s="43">
        <f t="shared" si="3"/>
        <v>2692000</v>
      </c>
      <c r="Q35" s="43">
        <f t="shared" ref="Q35:S36" si="4">1900000</f>
        <v>1900000</v>
      </c>
      <c r="R35" s="43">
        <f t="shared" si="4"/>
        <v>1900000</v>
      </c>
      <c r="S35" s="43">
        <f t="shared" si="4"/>
        <v>1900000</v>
      </c>
      <c r="T35" s="43">
        <f t="shared" ref="T35:V36" si="5">400000</f>
        <v>400000</v>
      </c>
      <c r="U35" s="43">
        <f t="shared" si="5"/>
        <v>400000</v>
      </c>
      <c r="V35" s="43">
        <f t="shared" si="5"/>
        <v>400000</v>
      </c>
    </row>
    <row r="36" spans="1:22" ht="43.5" customHeight="1">
      <c r="A36" s="44" t="s">
        <v>117</v>
      </c>
      <c r="B36" s="45" t="s">
        <v>118</v>
      </c>
      <c r="C36" s="46">
        <f>5654557</f>
        <v>5654557</v>
      </c>
      <c r="D36" s="47">
        <f>7051032</f>
        <v>7051032</v>
      </c>
      <c r="E36" s="47">
        <f>7257181</f>
        <v>7257181</v>
      </c>
      <c r="F36" s="48">
        <f>7257180.85</f>
        <v>7257180.8499999996</v>
      </c>
      <c r="G36" s="49">
        <f>7229323</f>
        <v>7229323</v>
      </c>
      <c r="H36" s="50">
        <f>6677276</f>
        <v>6677276</v>
      </c>
      <c r="I36" s="50">
        <f>6510929</f>
        <v>6510929</v>
      </c>
      <c r="J36" s="50">
        <f>5388276</f>
        <v>5388276</v>
      </c>
      <c r="K36" s="50">
        <f>4414612</f>
        <v>4414612</v>
      </c>
      <c r="L36" s="50">
        <f>3342000</f>
        <v>3342000</v>
      </c>
      <c r="M36" s="50">
        <f>3442000</f>
        <v>3442000</v>
      </c>
      <c r="N36" s="50">
        <f t="shared" si="3"/>
        <v>2692000</v>
      </c>
      <c r="O36" s="50">
        <f t="shared" si="3"/>
        <v>2692000</v>
      </c>
      <c r="P36" s="50">
        <f t="shared" si="3"/>
        <v>2692000</v>
      </c>
      <c r="Q36" s="50">
        <f t="shared" si="4"/>
        <v>1900000</v>
      </c>
      <c r="R36" s="50">
        <f t="shared" si="4"/>
        <v>1900000</v>
      </c>
      <c r="S36" s="50">
        <f t="shared" si="4"/>
        <v>1900000</v>
      </c>
      <c r="T36" s="50">
        <f t="shared" si="5"/>
        <v>400000</v>
      </c>
      <c r="U36" s="50">
        <f t="shared" si="5"/>
        <v>400000</v>
      </c>
      <c r="V36" s="50">
        <f t="shared" si="5"/>
        <v>400000</v>
      </c>
    </row>
    <row r="37" spans="1:22" ht="61.5" customHeight="1">
      <c r="A37" s="44" t="s">
        <v>119</v>
      </c>
      <c r="B37" s="45" t="s">
        <v>120</v>
      </c>
      <c r="C37" s="46">
        <f>0</f>
        <v>0</v>
      </c>
      <c r="D37" s="47">
        <f t="shared" ref="D37:I37" si="6">2000000</f>
        <v>2000000</v>
      </c>
      <c r="E37" s="47">
        <f t="shared" si="6"/>
        <v>2000000</v>
      </c>
      <c r="F37" s="48">
        <f t="shared" si="6"/>
        <v>2000000</v>
      </c>
      <c r="G37" s="49">
        <f t="shared" si="6"/>
        <v>2000000</v>
      </c>
      <c r="H37" s="50">
        <f t="shared" si="6"/>
        <v>2000000</v>
      </c>
      <c r="I37" s="50">
        <f t="shared" si="6"/>
        <v>2000000</v>
      </c>
      <c r="J37" s="50">
        <f>0</f>
        <v>0</v>
      </c>
      <c r="K37" s="50">
        <f>0</f>
        <v>0</v>
      </c>
      <c r="L37" s="50">
        <f>0</f>
        <v>0</v>
      </c>
      <c r="M37" s="50">
        <f>0</f>
        <v>0</v>
      </c>
      <c r="N37" s="50">
        <f>0</f>
        <v>0</v>
      </c>
      <c r="O37" s="50">
        <f>0</f>
        <v>0</v>
      </c>
      <c r="P37" s="50">
        <f>0</f>
        <v>0</v>
      </c>
      <c r="Q37" s="50">
        <f>0</f>
        <v>0</v>
      </c>
      <c r="R37" s="50">
        <f>0</f>
        <v>0</v>
      </c>
      <c r="S37" s="50">
        <f>0</f>
        <v>0</v>
      </c>
      <c r="T37" s="50">
        <f>0</f>
        <v>0</v>
      </c>
      <c r="U37" s="50">
        <f>0</f>
        <v>0</v>
      </c>
      <c r="V37" s="50">
        <f>0</f>
        <v>0</v>
      </c>
    </row>
    <row r="38" spans="1:22" ht="42" customHeight="1">
      <c r="A38" s="44" t="s">
        <v>121</v>
      </c>
      <c r="B38" s="45" t="s">
        <v>122</v>
      </c>
      <c r="C38" s="46">
        <f>0</f>
        <v>0</v>
      </c>
      <c r="D38" s="47">
        <f>0</f>
        <v>0</v>
      </c>
      <c r="E38" s="47">
        <f>0</f>
        <v>0</v>
      </c>
      <c r="F38" s="48">
        <f>0</f>
        <v>0</v>
      </c>
      <c r="G38" s="49">
        <f>0</f>
        <v>0</v>
      </c>
      <c r="H38" s="50">
        <f>0</f>
        <v>0</v>
      </c>
      <c r="I38" s="50">
        <f>0</f>
        <v>0</v>
      </c>
      <c r="J38" s="50">
        <f>0</f>
        <v>0</v>
      </c>
      <c r="K38" s="50">
        <f>0</f>
        <v>0</v>
      </c>
      <c r="L38" s="50">
        <f>0</f>
        <v>0</v>
      </c>
      <c r="M38" s="50">
        <f>0</f>
        <v>0</v>
      </c>
      <c r="N38" s="50">
        <f>0</f>
        <v>0</v>
      </c>
      <c r="O38" s="50">
        <f>0</f>
        <v>0</v>
      </c>
      <c r="P38" s="50">
        <f>0</f>
        <v>0</v>
      </c>
      <c r="Q38" s="50">
        <f>0</f>
        <v>0</v>
      </c>
      <c r="R38" s="50">
        <f>0</f>
        <v>0</v>
      </c>
      <c r="S38" s="50">
        <f>0</f>
        <v>0</v>
      </c>
      <c r="T38" s="50">
        <f>0</f>
        <v>0</v>
      </c>
      <c r="U38" s="50">
        <f>0</f>
        <v>0</v>
      </c>
      <c r="V38" s="50">
        <f>0</f>
        <v>0</v>
      </c>
    </row>
    <row r="39" spans="1:22" ht="47.25" customHeight="1">
      <c r="A39" s="44" t="s">
        <v>123</v>
      </c>
      <c r="B39" s="45" t="s">
        <v>124</v>
      </c>
      <c r="C39" s="46">
        <f>0</f>
        <v>0</v>
      </c>
      <c r="D39" s="47">
        <f>0</f>
        <v>0</v>
      </c>
      <c r="E39" s="47">
        <f>0</f>
        <v>0</v>
      </c>
      <c r="F39" s="48">
        <f>0</f>
        <v>0</v>
      </c>
      <c r="G39" s="49">
        <f>0</f>
        <v>0</v>
      </c>
      <c r="H39" s="50">
        <f>0</f>
        <v>0</v>
      </c>
      <c r="I39" s="50">
        <f>0</f>
        <v>0</v>
      </c>
      <c r="J39" s="50">
        <f>0</f>
        <v>0</v>
      </c>
      <c r="K39" s="50">
        <f>0</f>
        <v>0</v>
      </c>
      <c r="L39" s="50">
        <f>0</f>
        <v>0</v>
      </c>
      <c r="M39" s="50">
        <f>0</f>
        <v>0</v>
      </c>
      <c r="N39" s="50">
        <f>0</f>
        <v>0</v>
      </c>
      <c r="O39" s="50">
        <f>0</f>
        <v>0</v>
      </c>
      <c r="P39" s="50">
        <f>0</f>
        <v>0</v>
      </c>
      <c r="Q39" s="50">
        <f>0</f>
        <v>0</v>
      </c>
      <c r="R39" s="50">
        <f>0</f>
        <v>0</v>
      </c>
      <c r="S39" s="50">
        <f>0</f>
        <v>0</v>
      </c>
      <c r="T39" s="50">
        <f>0</f>
        <v>0</v>
      </c>
      <c r="U39" s="50">
        <f>0</f>
        <v>0</v>
      </c>
      <c r="V39" s="50">
        <f>0</f>
        <v>0</v>
      </c>
    </row>
    <row r="40" spans="1:22" ht="45" customHeight="1">
      <c r="A40" s="44" t="s">
        <v>125</v>
      </c>
      <c r="B40" s="45" t="s">
        <v>126</v>
      </c>
      <c r="C40" s="46">
        <f>0</f>
        <v>0</v>
      </c>
      <c r="D40" s="47">
        <f t="shared" ref="D40:I40" si="7">2000000</f>
        <v>2000000</v>
      </c>
      <c r="E40" s="47">
        <f t="shared" si="7"/>
        <v>2000000</v>
      </c>
      <c r="F40" s="48">
        <f t="shared" si="7"/>
        <v>2000000</v>
      </c>
      <c r="G40" s="49">
        <f t="shared" si="7"/>
        <v>2000000</v>
      </c>
      <c r="H40" s="50">
        <f t="shared" si="7"/>
        <v>2000000</v>
      </c>
      <c r="I40" s="50">
        <f t="shared" si="7"/>
        <v>2000000</v>
      </c>
      <c r="J40" s="50">
        <f>0</f>
        <v>0</v>
      </c>
      <c r="K40" s="50">
        <f>0</f>
        <v>0</v>
      </c>
      <c r="L40" s="50">
        <f>0</f>
        <v>0</v>
      </c>
      <c r="M40" s="50">
        <f>0</f>
        <v>0</v>
      </c>
      <c r="N40" s="50">
        <f>0</f>
        <v>0</v>
      </c>
      <c r="O40" s="50">
        <f>0</f>
        <v>0</v>
      </c>
      <c r="P40" s="50">
        <f>0</f>
        <v>0</v>
      </c>
      <c r="Q40" s="50">
        <f>0</f>
        <v>0</v>
      </c>
      <c r="R40" s="50">
        <f>0</f>
        <v>0</v>
      </c>
      <c r="S40" s="50">
        <f>0</f>
        <v>0</v>
      </c>
      <c r="T40" s="50">
        <f>0</f>
        <v>0</v>
      </c>
      <c r="U40" s="50">
        <f>0</f>
        <v>0</v>
      </c>
      <c r="V40" s="50">
        <f>0</f>
        <v>0</v>
      </c>
    </row>
    <row r="41" spans="1:22" ht="30.75" customHeight="1">
      <c r="A41" s="44" t="s">
        <v>127</v>
      </c>
      <c r="B41" s="45" t="s">
        <v>128</v>
      </c>
      <c r="C41" s="46">
        <f>0</f>
        <v>0</v>
      </c>
      <c r="D41" s="47">
        <f>0</f>
        <v>0</v>
      </c>
      <c r="E41" s="47">
        <f>0</f>
        <v>0</v>
      </c>
      <c r="F41" s="48">
        <f>0</f>
        <v>0</v>
      </c>
      <c r="G41" s="49">
        <f>0</f>
        <v>0</v>
      </c>
      <c r="H41" s="50">
        <f>0</f>
        <v>0</v>
      </c>
      <c r="I41" s="50">
        <f>0</f>
        <v>0</v>
      </c>
      <c r="J41" s="50">
        <f>0</f>
        <v>0</v>
      </c>
      <c r="K41" s="50">
        <f>0</f>
        <v>0</v>
      </c>
      <c r="L41" s="50">
        <f>0</f>
        <v>0</v>
      </c>
      <c r="M41" s="50">
        <f>0</f>
        <v>0</v>
      </c>
      <c r="N41" s="50">
        <f>0</f>
        <v>0</v>
      </c>
      <c r="O41" s="50">
        <f>0</f>
        <v>0</v>
      </c>
      <c r="P41" s="50">
        <f>0</f>
        <v>0</v>
      </c>
      <c r="Q41" s="50">
        <f>0</f>
        <v>0</v>
      </c>
      <c r="R41" s="50">
        <f>0</f>
        <v>0</v>
      </c>
      <c r="S41" s="50">
        <f>0</f>
        <v>0</v>
      </c>
      <c r="T41" s="50">
        <f>0</f>
        <v>0</v>
      </c>
      <c r="U41" s="50">
        <f>0</f>
        <v>0</v>
      </c>
      <c r="V41" s="50">
        <f>0</f>
        <v>0</v>
      </c>
    </row>
    <row r="42" spans="1:22" ht="16.5" customHeight="1">
      <c r="A42" s="37">
        <v>6</v>
      </c>
      <c r="B42" s="38" t="s">
        <v>129</v>
      </c>
      <c r="C42" s="39">
        <f>64492788.95</f>
        <v>64492788.950000003</v>
      </c>
      <c r="D42" s="40">
        <f>56311356.09</f>
        <v>56311356.090000004</v>
      </c>
      <c r="E42" s="40">
        <f>52748988</f>
        <v>52748988</v>
      </c>
      <c r="F42" s="41">
        <f>51708987.45</f>
        <v>51708987.450000003</v>
      </c>
      <c r="G42" s="42">
        <f>48024903</f>
        <v>48024903</v>
      </c>
      <c r="H42" s="43">
        <f>40692865</f>
        <v>40692865</v>
      </c>
      <c r="I42" s="43">
        <f>33527174</f>
        <v>33527174</v>
      </c>
      <c r="J42" s="43">
        <f>27484136</f>
        <v>27484136</v>
      </c>
      <c r="K42" s="43">
        <f>22414762</f>
        <v>22414762</v>
      </c>
      <c r="L42" s="43">
        <f>18418000</f>
        <v>18418000</v>
      </c>
      <c r="M42" s="43">
        <f>14976000</f>
        <v>14976000</v>
      </c>
      <c r="N42" s="43">
        <f>12284000</f>
        <v>12284000</v>
      </c>
      <c r="O42" s="43">
        <f>9592000</f>
        <v>9592000</v>
      </c>
      <c r="P42" s="43">
        <f>6900000</f>
        <v>6900000</v>
      </c>
      <c r="Q42" s="43">
        <f>5000000</f>
        <v>5000000</v>
      </c>
      <c r="R42" s="43">
        <f>3100000</f>
        <v>3100000</v>
      </c>
      <c r="S42" s="43">
        <f>1200000</f>
        <v>1200000</v>
      </c>
      <c r="T42" s="43">
        <f>800000</f>
        <v>800000</v>
      </c>
      <c r="U42" s="43">
        <f>400000</f>
        <v>400000</v>
      </c>
      <c r="V42" s="43">
        <f>0</f>
        <v>0</v>
      </c>
    </row>
    <row r="43" spans="1:22" ht="84.75" customHeight="1">
      <c r="A43" s="37">
        <v>7</v>
      </c>
      <c r="B43" s="38" t="s">
        <v>130</v>
      </c>
      <c r="C43" s="39">
        <f>7461502.27</f>
        <v>7461502.2699999996</v>
      </c>
      <c r="D43" s="40">
        <f>6162076.32</f>
        <v>6162076.3200000003</v>
      </c>
      <c r="E43" s="40">
        <f>3928572</f>
        <v>3928572</v>
      </c>
      <c r="F43" s="41">
        <f>3928571.45</f>
        <v>3928571.45</v>
      </c>
      <c r="G43" s="42">
        <f>3273810</f>
        <v>3273810</v>
      </c>
      <c r="H43" s="43">
        <f>2619048</f>
        <v>2619048</v>
      </c>
      <c r="I43" s="43">
        <f>1964286</f>
        <v>1964286</v>
      </c>
      <c r="J43" s="43">
        <f>1309524</f>
        <v>1309524</v>
      </c>
      <c r="K43" s="43">
        <f>654762</f>
        <v>654762</v>
      </c>
      <c r="L43" s="43">
        <f>0</f>
        <v>0</v>
      </c>
      <c r="M43" s="43">
        <f>0</f>
        <v>0</v>
      </c>
      <c r="N43" s="43">
        <f>0</f>
        <v>0</v>
      </c>
      <c r="O43" s="43">
        <f>0</f>
        <v>0</v>
      </c>
      <c r="P43" s="43">
        <f>0</f>
        <v>0</v>
      </c>
      <c r="Q43" s="43">
        <f>0</f>
        <v>0</v>
      </c>
      <c r="R43" s="43">
        <f>0</f>
        <v>0</v>
      </c>
      <c r="S43" s="43">
        <f>0</f>
        <v>0</v>
      </c>
      <c r="T43" s="43">
        <f>0</f>
        <v>0</v>
      </c>
      <c r="U43" s="43">
        <f>0</f>
        <v>0</v>
      </c>
      <c r="V43" s="43">
        <f>0</f>
        <v>0</v>
      </c>
    </row>
    <row r="44" spans="1:22" ht="41.25" customHeight="1">
      <c r="A44" s="37">
        <v>8</v>
      </c>
      <c r="B44" s="38" t="s">
        <v>131</v>
      </c>
      <c r="C44" s="51" t="s">
        <v>132</v>
      </c>
      <c r="D44" s="52" t="s">
        <v>132</v>
      </c>
      <c r="E44" s="52" t="s">
        <v>132</v>
      </c>
      <c r="F44" s="53" t="s">
        <v>132</v>
      </c>
      <c r="G44" s="54" t="s">
        <v>132</v>
      </c>
      <c r="H44" s="55" t="s">
        <v>132</v>
      </c>
      <c r="I44" s="55" t="s">
        <v>132</v>
      </c>
      <c r="J44" s="55" t="s">
        <v>132</v>
      </c>
      <c r="K44" s="55" t="s">
        <v>132</v>
      </c>
      <c r="L44" s="55" t="s">
        <v>132</v>
      </c>
      <c r="M44" s="55" t="s">
        <v>132</v>
      </c>
      <c r="N44" s="55" t="s">
        <v>132</v>
      </c>
      <c r="O44" s="55" t="s">
        <v>132</v>
      </c>
      <c r="P44" s="55" t="s">
        <v>132</v>
      </c>
      <c r="Q44" s="55" t="s">
        <v>132</v>
      </c>
      <c r="R44" s="55" t="s">
        <v>132</v>
      </c>
      <c r="S44" s="55" t="s">
        <v>132</v>
      </c>
      <c r="T44" s="55" t="s">
        <v>132</v>
      </c>
      <c r="U44" s="55" t="s">
        <v>132</v>
      </c>
      <c r="V44" s="55" t="s">
        <v>132</v>
      </c>
    </row>
    <row r="45" spans="1:22" ht="33" customHeight="1">
      <c r="A45" s="44" t="s">
        <v>133</v>
      </c>
      <c r="B45" s="45" t="s">
        <v>134</v>
      </c>
      <c r="C45" s="46">
        <f>-20552101.64</f>
        <v>-20552101.640000001</v>
      </c>
      <c r="D45" s="47">
        <f>10223537.61</f>
        <v>10223537.609999999</v>
      </c>
      <c r="E45" s="47">
        <f>1733144</f>
        <v>1733144</v>
      </c>
      <c r="F45" s="48">
        <f>6689493.43</f>
        <v>6689493.4299999997</v>
      </c>
      <c r="G45" s="49">
        <f>1388901</f>
        <v>1388901</v>
      </c>
      <c r="H45" s="50">
        <f>8152951</f>
        <v>8152951</v>
      </c>
      <c r="I45" s="50">
        <f>10985800</f>
        <v>10985800</v>
      </c>
      <c r="J45" s="50">
        <f>11404352</f>
        <v>11404352</v>
      </c>
      <c r="K45" s="50">
        <f>13754812</f>
        <v>13754812</v>
      </c>
      <c r="L45" s="50">
        <f>16017236</f>
        <v>16017236</v>
      </c>
      <c r="M45" s="50">
        <f>18722705</f>
        <v>18722705</v>
      </c>
      <c r="N45" s="50">
        <f>20537667</f>
        <v>20537667</v>
      </c>
      <c r="O45" s="50">
        <f>24931112</f>
        <v>24931112</v>
      </c>
      <c r="P45" s="50">
        <f>26558260</f>
        <v>26558260</v>
      </c>
      <c r="Q45" s="50">
        <f>28047700</f>
        <v>28047700</v>
      </c>
      <c r="R45" s="50">
        <f>29437960</f>
        <v>29437960</v>
      </c>
      <c r="S45" s="50">
        <f>30930078</f>
        <v>30930078</v>
      </c>
      <c r="T45" s="50">
        <f>32258370</f>
        <v>32258370</v>
      </c>
      <c r="U45" s="50">
        <f>33592691</f>
        <v>33592691</v>
      </c>
      <c r="V45" s="50">
        <f>34984585</f>
        <v>34984585</v>
      </c>
    </row>
    <row r="46" spans="1:22" ht="51" customHeight="1">
      <c r="A46" s="44" t="s">
        <v>135</v>
      </c>
      <c r="B46" s="45" t="s">
        <v>136</v>
      </c>
      <c r="C46" s="46">
        <f>7754393.38</f>
        <v>7754393.3799999999</v>
      </c>
      <c r="D46" s="47">
        <f>16877363.49</f>
        <v>16877363.489999998</v>
      </c>
      <c r="E46" s="47">
        <f>7045369</f>
        <v>7045369</v>
      </c>
      <c r="F46" s="48">
        <f>12199669.56</f>
        <v>12199669.560000001</v>
      </c>
      <c r="G46" s="49">
        <f>4775983</f>
        <v>4775983</v>
      </c>
      <c r="H46" s="50">
        <f>8152951</f>
        <v>8152951</v>
      </c>
      <c r="I46" s="50">
        <f>10985800</f>
        <v>10985800</v>
      </c>
      <c r="J46" s="50">
        <f>11404352</f>
        <v>11404352</v>
      </c>
      <c r="K46" s="50">
        <f>13754812</f>
        <v>13754812</v>
      </c>
      <c r="L46" s="50">
        <f>16017236</f>
        <v>16017236</v>
      </c>
      <c r="M46" s="50">
        <f>18722705</f>
        <v>18722705</v>
      </c>
      <c r="N46" s="50">
        <f>20537667</f>
        <v>20537667</v>
      </c>
      <c r="O46" s="50">
        <f>24931112</f>
        <v>24931112</v>
      </c>
      <c r="P46" s="50">
        <f>26558260</f>
        <v>26558260</v>
      </c>
      <c r="Q46" s="50">
        <f>28047700</f>
        <v>28047700</v>
      </c>
      <c r="R46" s="50">
        <f>29437960</f>
        <v>29437960</v>
      </c>
      <c r="S46" s="50">
        <f>30930078</f>
        <v>30930078</v>
      </c>
      <c r="T46" s="50">
        <f>32258370</f>
        <v>32258370</v>
      </c>
      <c r="U46" s="50">
        <f>33592691</f>
        <v>33592691</v>
      </c>
      <c r="V46" s="50">
        <f>34984585</f>
        <v>34984585</v>
      </c>
    </row>
    <row r="47" spans="1:22" ht="16.5" customHeight="1">
      <c r="A47" s="37">
        <v>9</v>
      </c>
      <c r="B47" s="38" t="s">
        <v>137</v>
      </c>
      <c r="C47" s="51" t="s">
        <v>132</v>
      </c>
      <c r="D47" s="52" t="s">
        <v>132</v>
      </c>
      <c r="E47" s="52" t="s">
        <v>132</v>
      </c>
      <c r="F47" s="53" t="s">
        <v>132</v>
      </c>
      <c r="G47" s="54" t="s">
        <v>132</v>
      </c>
      <c r="H47" s="55" t="s">
        <v>132</v>
      </c>
      <c r="I47" s="55" t="s">
        <v>132</v>
      </c>
      <c r="J47" s="55" t="s">
        <v>132</v>
      </c>
      <c r="K47" s="55" t="s">
        <v>132</v>
      </c>
      <c r="L47" s="55" t="s">
        <v>132</v>
      </c>
      <c r="M47" s="55" t="s">
        <v>132</v>
      </c>
      <c r="N47" s="55" t="s">
        <v>132</v>
      </c>
      <c r="O47" s="55" t="s">
        <v>132</v>
      </c>
      <c r="P47" s="55" t="s">
        <v>132</v>
      </c>
      <c r="Q47" s="55" t="s">
        <v>132</v>
      </c>
      <c r="R47" s="55" t="s">
        <v>132</v>
      </c>
      <c r="S47" s="55" t="s">
        <v>132</v>
      </c>
      <c r="T47" s="55" t="s">
        <v>132</v>
      </c>
      <c r="U47" s="55" t="s">
        <v>132</v>
      </c>
      <c r="V47" s="55" t="s">
        <v>132</v>
      </c>
    </row>
    <row r="48" spans="1:22" ht="108" customHeight="1">
      <c r="A48" s="44" t="s">
        <v>138</v>
      </c>
      <c r="B48" s="45" t="s">
        <v>139</v>
      </c>
      <c r="C48" s="56">
        <f>0.0669</f>
        <v>6.6900000000000001E-2</v>
      </c>
      <c r="D48" s="57">
        <f>0.0821</f>
        <v>8.2100000000000006E-2</v>
      </c>
      <c r="E48" s="57">
        <f>0.0809</f>
        <v>8.09E-2</v>
      </c>
      <c r="F48" s="58">
        <f>0.0754</f>
        <v>7.5399999999999995E-2</v>
      </c>
      <c r="G48" s="59">
        <f>0.0718</f>
        <v>7.1800000000000003E-2</v>
      </c>
      <c r="H48" s="60">
        <f>0.0651</f>
        <v>6.5100000000000005E-2</v>
      </c>
      <c r="I48" s="60">
        <f>0.0614</f>
        <v>6.1400000000000003E-2</v>
      </c>
      <c r="J48" s="60">
        <f>0.0728</f>
        <v>7.2800000000000004E-2</v>
      </c>
      <c r="K48" s="60">
        <f>0.0616</f>
        <v>6.1600000000000002E-2</v>
      </c>
      <c r="L48" s="60">
        <f>0.0497</f>
        <v>4.9700000000000001E-2</v>
      </c>
      <c r="M48" s="60">
        <f>0.0474</f>
        <v>4.7399999999999998E-2</v>
      </c>
      <c r="N48" s="60">
        <f>0.0397</f>
        <v>3.9699999999999999E-2</v>
      </c>
      <c r="O48" s="60">
        <f>0.0207</f>
        <v>2.07E-2</v>
      </c>
      <c r="P48" s="60">
        <f>0.0194</f>
        <v>1.9400000000000001E-2</v>
      </c>
      <c r="Q48" s="60">
        <f>0.0136</f>
        <v>1.3599999999999999E-2</v>
      </c>
      <c r="R48" s="60">
        <f>0.0129</f>
        <v>1.29E-2</v>
      </c>
      <c r="S48" s="60">
        <f>0.0119</f>
        <v>1.1900000000000001E-2</v>
      </c>
      <c r="T48" s="60">
        <f>0.0026</f>
        <v>2.5999999999999999E-3</v>
      </c>
      <c r="U48" s="60">
        <f>0.0025</f>
        <v>2.5000000000000001E-3</v>
      </c>
      <c r="V48" s="60">
        <f>0.0023</f>
        <v>2.3E-3</v>
      </c>
    </row>
    <row r="49" spans="1:22" ht="112.5" customHeight="1">
      <c r="A49" s="44" t="s">
        <v>140</v>
      </c>
      <c r="B49" s="45" t="s">
        <v>141</v>
      </c>
      <c r="C49" s="56">
        <f>0.0669</f>
        <v>6.6900000000000001E-2</v>
      </c>
      <c r="D49" s="57">
        <f>0.0637</f>
        <v>6.3700000000000007E-2</v>
      </c>
      <c r="E49" s="57">
        <f>0.0631</f>
        <v>6.3100000000000003E-2</v>
      </c>
      <c r="F49" s="58">
        <f>0.0578</f>
        <v>5.7799999999999997E-2</v>
      </c>
      <c r="G49" s="59">
        <f>0.0556</f>
        <v>5.5599999999999997E-2</v>
      </c>
      <c r="H49" s="60">
        <f>0.0497</f>
        <v>4.9700000000000001E-2</v>
      </c>
      <c r="I49" s="60">
        <f>0.0465</f>
        <v>4.65E-2</v>
      </c>
      <c r="J49" s="60">
        <f>0.0728</f>
        <v>7.2800000000000004E-2</v>
      </c>
      <c r="K49" s="60">
        <f>0.0616</f>
        <v>6.1600000000000002E-2</v>
      </c>
      <c r="L49" s="60">
        <f>0.0497</f>
        <v>4.9700000000000001E-2</v>
      </c>
      <c r="M49" s="60">
        <f>0.0474</f>
        <v>4.7399999999999998E-2</v>
      </c>
      <c r="N49" s="60">
        <f>0.0397</f>
        <v>3.9699999999999999E-2</v>
      </c>
      <c r="O49" s="60">
        <f>0.0207</f>
        <v>2.07E-2</v>
      </c>
      <c r="P49" s="60">
        <f>0.0194</f>
        <v>1.9400000000000001E-2</v>
      </c>
      <c r="Q49" s="60">
        <f>0.0136</f>
        <v>1.3599999999999999E-2</v>
      </c>
      <c r="R49" s="60">
        <f>0.0129</f>
        <v>1.29E-2</v>
      </c>
      <c r="S49" s="60">
        <f>0.0119</f>
        <v>1.1900000000000001E-2</v>
      </c>
      <c r="T49" s="60">
        <f>0.0026</f>
        <v>2.5999999999999999E-3</v>
      </c>
      <c r="U49" s="60">
        <f>0.0025</f>
        <v>2.5000000000000001E-3</v>
      </c>
      <c r="V49" s="60">
        <f>0.0023</f>
        <v>2.3E-3</v>
      </c>
    </row>
    <row r="50" spans="1:22" ht="81.75" customHeight="1">
      <c r="A50" s="44" t="s">
        <v>142</v>
      </c>
      <c r="B50" s="45" t="s">
        <v>143</v>
      </c>
      <c r="C50" s="46">
        <f>0</f>
        <v>0</v>
      </c>
      <c r="D50" s="47">
        <f>0</f>
        <v>0</v>
      </c>
      <c r="E50" s="47">
        <f>0</f>
        <v>0</v>
      </c>
      <c r="F50" s="48">
        <f>0</f>
        <v>0</v>
      </c>
      <c r="G50" s="49">
        <f>0</f>
        <v>0</v>
      </c>
      <c r="H50" s="50">
        <f>0</f>
        <v>0</v>
      </c>
      <c r="I50" s="50">
        <f>0</f>
        <v>0</v>
      </c>
      <c r="J50" s="50">
        <f>0</f>
        <v>0</v>
      </c>
      <c r="K50" s="50">
        <f>0</f>
        <v>0</v>
      </c>
      <c r="L50" s="50">
        <f>0</f>
        <v>0</v>
      </c>
      <c r="M50" s="50">
        <f>0</f>
        <v>0</v>
      </c>
      <c r="N50" s="50">
        <f>0</f>
        <v>0</v>
      </c>
      <c r="O50" s="50">
        <f>0</f>
        <v>0</v>
      </c>
      <c r="P50" s="50">
        <f>0</f>
        <v>0</v>
      </c>
      <c r="Q50" s="50">
        <f>0</f>
        <v>0</v>
      </c>
      <c r="R50" s="50">
        <f>0</f>
        <v>0</v>
      </c>
      <c r="S50" s="50">
        <f>0</f>
        <v>0</v>
      </c>
      <c r="T50" s="50">
        <f>0</f>
        <v>0</v>
      </c>
      <c r="U50" s="50">
        <f>0</f>
        <v>0</v>
      </c>
      <c r="V50" s="50">
        <f>0</f>
        <v>0</v>
      </c>
    </row>
    <row r="51" spans="1:22" ht="104.25" customHeight="1">
      <c r="A51" s="44" t="s">
        <v>144</v>
      </c>
      <c r="B51" s="45" t="s">
        <v>145</v>
      </c>
      <c r="C51" s="56">
        <f>0.0669</f>
        <v>6.6900000000000001E-2</v>
      </c>
      <c r="D51" s="57">
        <f>0.0637</f>
        <v>6.3700000000000007E-2</v>
      </c>
      <c r="E51" s="57">
        <f>0.0631</f>
        <v>6.3100000000000003E-2</v>
      </c>
      <c r="F51" s="58">
        <f>0.0578</f>
        <v>5.7799999999999997E-2</v>
      </c>
      <c r="G51" s="59">
        <f>0.0556</f>
        <v>5.5599999999999997E-2</v>
      </c>
      <c r="H51" s="60">
        <f>0.0497</f>
        <v>4.9700000000000001E-2</v>
      </c>
      <c r="I51" s="60">
        <f>0.0465</f>
        <v>4.65E-2</v>
      </c>
      <c r="J51" s="60">
        <f>0.0728</f>
        <v>7.2800000000000004E-2</v>
      </c>
      <c r="K51" s="60">
        <f>0.0616</f>
        <v>6.1600000000000002E-2</v>
      </c>
      <c r="L51" s="60">
        <f>0.0497</f>
        <v>4.9700000000000001E-2</v>
      </c>
      <c r="M51" s="60">
        <f>0.0474</f>
        <v>4.7399999999999998E-2</v>
      </c>
      <c r="N51" s="60">
        <f>0.0397</f>
        <v>3.9699999999999999E-2</v>
      </c>
      <c r="O51" s="60">
        <f>0.0207</f>
        <v>2.07E-2</v>
      </c>
      <c r="P51" s="60">
        <f>0.0194</f>
        <v>1.9400000000000001E-2</v>
      </c>
      <c r="Q51" s="60">
        <f>0.0136</f>
        <v>1.3599999999999999E-2</v>
      </c>
      <c r="R51" s="60">
        <f>0.0129</f>
        <v>1.29E-2</v>
      </c>
      <c r="S51" s="60">
        <f>0.0119</f>
        <v>1.1900000000000001E-2</v>
      </c>
      <c r="T51" s="60">
        <f>0.0026</f>
        <v>2.5999999999999999E-3</v>
      </c>
      <c r="U51" s="60">
        <f>0.0025</f>
        <v>2.5000000000000001E-3</v>
      </c>
      <c r="V51" s="60">
        <f>0.0023</f>
        <v>2.3E-3</v>
      </c>
    </row>
    <row r="52" spans="1:22" ht="78.75" customHeight="1">
      <c r="A52" s="44" t="s">
        <v>146</v>
      </c>
      <c r="B52" s="61" t="s">
        <v>147</v>
      </c>
      <c r="C52" s="56">
        <f>0.1299</f>
        <v>0.12989999999999999</v>
      </c>
      <c r="D52" s="57">
        <f>0.1058</f>
        <v>0.10580000000000001</v>
      </c>
      <c r="E52" s="57">
        <f>0.046</f>
        <v>4.5999999999999999E-2</v>
      </c>
      <c r="F52" s="58">
        <f>0.0824</f>
        <v>8.2400000000000001E-2</v>
      </c>
      <c r="G52" s="59">
        <f>0.0724</f>
        <v>7.2400000000000006E-2</v>
      </c>
      <c r="H52" s="60">
        <f>0.1011</f>
        <v>0.1011</v>
      </c>
      <c r="I52" s="60">
        <f>0.1008</f>
        <v>0.1008</v>
      </c>
      <c r="J52" s="60">
        <f>0.0979</f>
        <v>9.7900000000000001E-2</v>
      </c>
      <c r="K52" s="60">
        <f>0.1081</f>
        <v>0.1081</v>
      </c>
      <c r="L52" s="60">
        <f>0.1203</f>
        <v>0.1203</v>
      </c>
      <c r="M52" s="60">
        <f>0.1343</f>
        <v>0.1343</v>
      </c>
      <c r="N52" s="60">
        <f>0.1422</f>
        <v>0.14219999999999999</v>
      </c>
      <c r="O52" s="60">
        <f>0.1673</f>
        <v>0.1673</v>
      </c>
      <c r="P52" s="60">
        <f>0.1726</f>
        <v>0.1726</v>
      </c>
      <c r="Q52" s="60">
        <f>0.1771</f>
        <v>0.17710000000000001</v>
      </c>
      <c r="R52" s="60">
        <f>0.1806</f>
        <v>0.18060000000000001</v>
      </c>
      <c r="S52" s="60">
        <f>0.1844</f>
        <v>0.18440000000000001</v>
      </c>
      <c r="T52" s="60">
        <f>0.1871</f>
        <v>0.18709999999999999</v>
      </c>
      <c r="U52" s="60">
        <f>0.1895</f>
        <v>0.1895</v>
      </c>
      <c r="V52" s="60">
        <f>0.192</f>
        <v>0.192</v>
      </c>
    </row>
    <row r="53" spans="1:22" ht="111" customHeight="1">
      <c r="A53" s="44" t="s">
        <v>148</v>
      </c>
      <c r="B53" s="45" t="s">
        <v>149</v>
      </c>
      <c r="C53" s="51" t="s">
        <v>132</v>
      </c>
      <c r="D53" s="52" t="s">
        <v>132</v>
      </c>
      <c r="E53" s="52" t="s">
        <v>132</v>
      </c>
      <c r="F53" s="53" t="s">
        <v>132</v>
      </c>
      <c r="G53" s="59">
        <f>0.0939</f>
        <v>9.3899999999999997E-2</v>
      </c>
      <c r="H53" s="60">
        <f>0.0747</f>
        <v>7.4700000000000003E-2</v>
      </c>
      <c r="I53" s="60">
        <f>0.0732</f>
        <v>7.3200000000000001E-2</v>
      </c>
      <c r="J53" s="60">
        <f>0.0914</f>
        <v>9.1399999999999995E-2</v>
      </c>
      <c r="K53" s="60">
        <f>0.0999</f>
        <v>9.9900000000000003E-2</v>
      </c>
      <c r="L53" s="60">
        <f>0.1023</f>
        <v>0.1023</v>
      </c>
      <c r="M53" s="60">
        <f>0.1088</f>
        <v>0.10879999999999999</v>
      </c>
      <c r="N53" s="60">
        <f>0.1209</f>
        <v>0.12089999999999999</v>
      </c>
      <c r="O53" s="60">
        <f>0.1323</f>
        <v>0.1323</v>
      </c>
      <c r="P53" s="60">
        <f>0.1479</f>
        <v>0.1479</v>
      </c>
      <c r="Q53" s="60">
        <f>0.1607</f>
        <v>0.16070000000000001</v>
      </c>
      <c r="R53" s="60">
        <f>0.1723</f>
        <v>0.17230000000000001</v>
      </c>
      <c r="S53" s="60">
        <f>0.1768</f>
        <v>0.17680000000000001</v>
      </c>
      <c r="T53" s="60">
        <f>0.1807</f>
        <v>0.1807</v>
      </c>
      <c r="U53" s="60">
        <f>0.184</f>
        <v>0.184</v>
      </c>
      <c r="V53" s="60">
        <f>0.187</f>
        <v>0.187</v>
      </c>
    </row>
    <row r="54" spans="1:22" ht="117" customHeight="1">
      <c r="A54" s="44" t="s">
        <v>150</v>
      </c>
      <c r="B54" s="45" t="s">
        <v>151</v>
      </c>
      <c r="C54" s="51" t="s">
        <v>132</v>
      </c>
      <c r="D54" s="52" t="s">
        <v>132</v>
      </c>
      <c r="E54" s="52" t="s">
        <v>132</v>
      </c>
      <c r="F54" s="53" t="s">
        <v>132</v>
      </c>
      <c r="G54" s="59">
        <f>0.106</f>
        <v>0.106</v>
      </c>
      <c r="H54" s="60">
        <f>0.0869</f>
        <v>8.6900000000000005E-2</v>
      </c>
      <c r="I54" s="60">
        <f>0.0853</f>
        <v>8.5300000000000001E-2</v>
      </c>
      <c r="J54" s="60">
        <f>0.0914</f>
        <v>9.1399999999999995E-2</v>
      </c>
      <c r="K54" s="60">
        <f>0.0999</f>
        <v>9.9900000000000003E-2</v>
      </c>
      <c r="L54" s="60">
        <f>0.1023</f>
        <v>0.1023</v>
      </c>
      <c r="M54" s="60">
        <f>0.1088</f>
        <v>0.10879999999999999</v>
      </c>
      <c r="N54" s="60">
        <f>0.1209</f>
        <v>0.12089999999999999</v>
      </c>
      <c r="O54" s="60">
        <f>0.1323</f>
        <v>0.1323</v>
      </c>
      <c r="P54" s="60">
        <f>0.1479</f>
        <v>0.1479</v>
      </c>
      <c r="Q54" s="60">
        <f>0.1607</f>
        <v>0.16070000000000001</v>
      </c>
      <c r="R54" s="60">
        <f>0.1723</f>
        <v>0.17230000000000001</v>
      </c>
      <c r="S54" s="60">
        <f>0.1768</f>
        <v>0.17680000000000001</v>
      </c>
      <c r="T54" s="60">
        <f>0.1807</f>
        <v>0.1807</v>
      </c>
      <c r="U54" s="60">
        <f>0.184</f>
        <v>0.184</v>
      </c>
      <c r="V54" s="60">
        <f>0.187</f>
        <v>0.187</v>
      </c>
    </row>
    <row r="55" spans="1:22" ht="125.25" customHeight="1">
      <c r="A55" s="44" t="s">
        <v>152</v>
      </c>
      <c r="B55" s="45" t="s">
        <v>153</v>
      </c>
      <c r="C55" s="51" t="s">
        <v>132</v>
      </c>
      <c r="D55" s="52" t="s">
        <v>132</v>
      </c>
      <c r="E55" s="52" t="s">
        <v>132</v>
      </c>
      <c r="F55" s="53" t="s">
        <v>132</v>
      </c>
      <c r="G55" s="62" t="str">
        <f>IF(G51&lt;=G53,"Spełniona","Nie spełniona")</f>
        <v>Spełniona</v>
      </c>
      <c r="H55" s="63" t="str">
        <f t="shared" ref="H55:V55" si="8">IF(H51&lt;=H53,"Spełniona","Nie spełniona")</f>
        <v>Spełniona</v>
      </c>
      <c r="I55" s="63" t="str">
        <f t="shared" si="8"/>
        <v>Spełniona</v>
      </c>
      <c r="J55" s="63" t="str">
        <f t="shared" si="8"/>
        <v>Spełniona</v>
      </c>
      <c r="K55" s="63" t="str">
        <f t="shared" si="8"/>
        <v>Spełniona</v>
      </c>
      <c r="L55" s="63" t="str">
        <f t="shared" si="8"/>
        <v>Spełniona</v>
      </c>
      <c r="M55" s="63" t="str">
        <f t="shared" si="8"/>
        <v>Spełniona</v>
      </c>
      <c r="N55" s="63" t="str">
        <f t="shared" si="8"/>
        <v>Spełniona</v>
      </c>
      <c r="O55" s="63" t="str">
        <f t="shared" si="8"/>
        <v>Spełniona</v>
      </c>
      <c r="P55" s="63" t="str">
        <f t="shared" si="8"/>
        <v>Spełniona</v>
      </c>
      <c r="Q55" s="63" t="str">
        <f t="shared" si="8"/>
        <v>Spełniona</v>
      </c>
      <c r="R55" s="63" t="str">
        <f t="shared" si="8"/>
        <v>Spełniona</v>
      </c>
      <c r="S55" s="63" t="str">
        <f t="shared" si="8"/>
        <v>Spełniona</v>
      </c>
      <c r="T55" s="63" t="str">
        <f t="shared" si="8"/>
        <v>Spełniona</v>
      </c>
      <c r="U55" s="63" t="str">
        <f t="shared" si="8"/>
        <v>Spełniona</v>
      </c>
      <c r="V55" s="63" t="str">
        <f t="shared" si="8"/>
        <v>Spełniona</v>
      </c>
    </row>
    <row r="56" spans="1:22" ht="120.75" customHeight="1">
      <c r="A56" s="44" t="s">
        <v>154</v>
      </c>
      <c r="B56" s="45" t="s">
        <v>155</v>
      </c>
      <c r="C56" s="51" t="s">
        <v>132</v>
      </c>
      <c r="D56" s="52" t="s">
        <v>132</v>
      </c>
      <c r="E56" s="52" t="s">
        <v>132</v>
      </c>
      <c r="F56" s="53" t="s">
        <v>132</v>
      </c>
      <c r="G56" s="62" t="str">
        <f>IF(G51&lt;=G54,"Spełniona","Nie spełniona")</f>
        <v>Spełniona</v>
      </c>
      <c r="H56" s="63" t="str">
        <f t="shared" ref="H56:V56" si="9">IF(H51&lt;=H54,"Spełniona","Nie spełniona")</f>
        <v>Spełniona</v>
      </c>
      <c r="I56" s="63" t="str">
        <f t="shared" si="9"/>
        <v>Spełniona</v>
      </c>
      <c r="J56" s="63" t="str">
        <f t="shared" si="9"/>
        <v>Spełniona</v>
      </c>
      <c r="K56" s="63" t="str">
        <f t="shared" si="9"/>
        <v>Spełniona</v>
      </c>
      <c r="L56" s="63" t="str">
        <f t="shared" si="9"/>
        <v>Spełniona</v>
      </c>
      <c r="M56" s="63" t="str">
        <f t="shared" si="9"/>
        <v>Spełniona</v>
      </c>
      <c r="N56" s="63" t="str">
        <f t="shared" si="9"/>
        <v>Spełniona</v>
      </c>
      <c r="O56" s="63" t="str">
        <f t="shared" si="9"/>
        <v>Spełniona</v>
      </c>
      <c r="P56" s="63" t="str">
        <f t="shared" si="9"/>
        <v>Spełniona</v>
      </c>
      <c r="Q56" s="63" t="str">
        <f t="shared" si="9"/>
        <v>Spełniona</v>
      </c>
      <c r="R56" s="63" t="str">
        <f t="shared" si="9"/>
        <v>Spełniona</v>
      </c>
      <c r="S56" s="63" t="str">
        <f t="shared" si="9"/>
        <v>Spełniona</v>
      </c>
      <c r="T56" s="63" t="str">
        <f t="shared" si="9"/>
        <v>Spełniona</v>
      </c>
      <c r="U56" s="63" t="str">
        <f t="shared" si="9"/>
        <v>Spełniona</v>
      </c>
      <c r="V56" s="63" t="str">
        <f t="shared" si="9"/>
        <v>Spełniona</v>
      </c>
    </row>
    <row r="57" spans="1:22" ht="31.5" customHeight="1">
      <c r="A57" s="37">
        <v>10</v>
      </c>
      <c r="B57" s="38" t="s">
        <v>156</v>
      </c>
      <c r="C57" s="39">
        <f>0</f>
        <v>0</v>
      </c>
      <c r="D57" s="40">
        <f>0</f>
        <v>0</v>
      </c>
      <c r="E57" s="40">
        <f>0</f>
        <v>0</v>
      </c>
      <c r="F57" s="41">
        <f>0</f>
        <v>0</v>
      </c>
      <c r="G57" s="42">
        <f>0</f>
        <v>0</v>
      </c>
      <c r="H57" s="43">
        <f>6677276</f>
        <v>6677276</v>
      </c>
      <c r="I57" s="43">
        <f>6510929</f>
        <v>6510929</v>
      </c>
      <c r="J57" s="43">
        <f>5388276</f>
        <v>5388276</v>
      </c>
      <c r="K57" s="43">
        <f>4414612</f>
        <v>4414612</v>
      </c>
      <c r="L57" s="43">
        <f>3342000</f>
        <v>3342000</v>
      </c>
      <c r="M57" s="43">
        <f>3442000</f>
        <v>3442000</v>
      </c>
      <c r="N57" s="43">
        <f t="shared" ref="N57:P58" si="10">2692000</f>
        <v>2692000</v>
      </c>
      <c r="O57" s="43">
        <f t="shared" si="10"/>
        <v>2692000</v>
      </c>
      <c r="P57" s="43">
        <f t="shared" si="10"/>
        <v>2692000</v>
      </c>
      <c r="Q57" s="43">
        <f t="shared" ref="Q57:S58" si="11">1900000</f>
        <v>1900000</v>
      </c>
      <c r="R57" s="43">
        <f t="shared" si="11"/>
        <v>1900000</v>
      </c>
      <c r="S57" s="43">
        <f t="shared" si="11"/>
        <v>1900000</v>
      </c>
      <c r="T57" s="43">
        <f t="shared" ref="T57:V58" si="12">400000</f>
        <v>400000</v>
      </c>
      <c r="U57" s="43">
        <f t="shared" si="12"/>
        <v>400000</v>
      </c>
      <c r="V57" s="43">
        <f t="shared" si="12"/>
        <v>400000</v>
      </c>
    </row>
    <row r="58" spans="1:22" ht="31.5" customHeight="1">
      <c r="A58" s="44" t="s">
        <v>157</v>
      </c>
      <c r="B58" s="45" t="s">
        <v>158</v>
      </c>
      <c r="C58" s="46">
        <f>0</f>
        <v>0</v>
      </c>
      <c r="D58" s="47">
        <f>0</f>
        <v>0</v>
      </c>
      <c r="E58" s="47">
        <f>0</f>
        <v>0</v>
      </c>
      <c r="F58" s="48">
        <f>0</f>
        <v>0</v>
      </c>
      <c r="G58" s="49">
        <f>0</f>
        <v>0</v>
      </c>
      <c r="H58" s="50">
        <f>6677276</f>
        <v>6677276</v>
      </c>
      <c r="I58" s="50">
        <f>6510929</f>
        <v>6510929</v>
      </c>
      <c r="J58" s="50">
        <f>5388276</f>
        <v>5388276</v>
      </c>
      <c r="K58" s="50">
        <f>4414612</f>
        <v>4414612</v>
      </c>
      <c r="L58" s="50">
        <f>3342000</f>
        <v>3342000</v>
      </c>
      <c r="M58" s="50">
        <f>3442000</f>
        <v>3442000</v>
      </c>
      <c r="N58" s="50">
        <f t="shared" si="10"/>
        <v>2692000</v>
      </c>
      <c r="O58" s="50">
        <f t="shared" si="10"/>
        <v>2692000</v>
      </c>
      <c r="P58" s="50">
        <f t="shared" si="10"/>
        <v>2692000</v>
      </c>
      <c r="Q58" s="50">
        <f t="shared" si="11"/>
        <v>1900000</v>
      </c>
      <c r="R58" s="50">
        <f t="shared" si="11"/>
        <v>1900000</v>
      </c>
      <c r="S58" s="50">
        <f t="shared" si="11"/>
        <v>1900000</v>
      </c>
      <c r="T58" s="50">
        <f t="shared" si="12"/>
        <v>400000</v>
      </c>
      <c r="U58" s="50">
        <f t="shared" si="12"/>
        <v>400000</v>
      </c>
      <c r="V58" s="50">
        <f t="shared" si="12"/>
        <v>400000</v>
      </c>
    </row>
    <row r="59" spans="1:22" ht="44.25" customHeight="1">
      <c r="A59" s="37">
        <v>11</v>
      </c>
      <c r="B59" s="38" t="s">
        <v>159</v>
      </c>
      <c r="C59" s="51" t="s">
        <v>132</v>
      </c>
      <c r="D59" s="52" t="s">
        <v>132</v>
      </c>
      <c r="E59" s="52" t="s">
        <v>132</v>
      </c>
      <c r="F59" s="53" t="s">
        <v>132</v>
      </c>
      <c r="G59" s="54" t="s">
        <v>132</v>
      </c>
      <c r="H59" s="55" t="s">
        <v>132</v>
      </c>
      <c r="I59" s="55" t="s">
        <v>132</v>
      </c>
      <c r="J59" s="55" t="s">
        <v>132</v>
      </c>
      <c r="K59" s="55" t="s">
        <v>132</v>
      </c>
      <c r="L59" s="55" t="s">
        <v>132</v>
      </c>
      <c r="M59" s="55" t="s">
        <v>132</v>
      </c>
      <c r="N59" s="55" t="s">
        <v>132</v>
      </c>
      <c r="O59" s="55" t="s">
        <v>132</v>
      </c>
      <c r="P59" s="55" t="s">
        <v>132</v>
      </c>
      <c r="Q59" s="55" t="s">
        <v>132</v>
      </c>
      <c r="R59" s="55" t="s">
        <v>132</v>
      </c>
      <c r="S59" s="55" t="s">
        <v>132</v>
      </c>
      <c r="T59" s="55" t="s">
        <v>132</v>
      </c>
      <c r="U59" s="55" t="s">
        <v>132</v>
      </c>
      <c r="V59" s="55" t="s">
        <v>132</v>
      </c>
    </row>
    <row r="60" spans="1:22" ht="32.25" customHeight="1">
      <c r="A60" s="44" t="s">
        <v>160</v>
      </c>
      <c r="B60" s="45" t="s">
        <v>161</v>
      </c>
      <c r="C60" s="46">
        <f>61493180.5</f>
        <v>61493180.5</v>
      </c>
      <c r="D60" s="47">
        <f>59898977.95</f>
        <v>59898977.950000003</v>
      </c>
      <c r="E60" s="47">
        <f>65897366</f>
        <v>65897366</v>
      </c>
      <c r="F60" s="48">
        <f>65172879.09</f>
        <v>65172879.090000004</v>
      </c>
      <c r="G60" s="49">
        <f>65684307</f>
        <v>65684307</v>
      </c>
      <c r="H60" s="50">
        <f>66354737</f>
        <v>66354737</v>
      </c>
      <c r="I60" s="50">
        <f>67549122</f>
        <v>67549122</v>
      </c>
      <c r="J60" s="50">
        <f>69035203</f>
        <v>69035203</v>
      </c>
      <c r="K60" s="50">
        <f>70761083</f>
        <v>70761083</v>
      </c>
      <c r="L60" s="50">
        <f>72530110</f>
        <v>72530110</v>
      </c>
      <c r="M60" s="50">
        <f>74343363</f>
        <v>74343363</v>
      </c>
      <c r="N60" s="50">
        <f>76201947</f>
        <v>76201947</v>
      </c>
      <c r="O60" s="50">
        <f>78106996</f>
        <v>78106996</v>
      </c>
      <c r="P60" s="50">
        <f>80059671</f>
        <v>80059671</v>
      </c>
      <c r="Q60" s="50">
        <f>82061163</f>
        <v>82061163</v>
      </c>
      <c r="R60" s="50">
        <f>84112692</f>
        <v>84112692</v>
      </c>
      <c r="S60" s="50">
        <f>86215509</f>
        <v>86215509</v>
      </c>
      <c r="T60" s="50">
        <f>88370897</f>
        <v>88370897</v>
      </c>
      <c r="U60" s="50">
        <f>90580169</f>
        <v>90580169</v>
      </c>
      <c r="V60" s="50">
        <f>92844673</f>
        <v>92844673</v>
      </c>
    </row>
    <row r="61" spans="1:22" ht="42.75" customHeight="1">
      <c r="A61" s="44" t="s">
        <v>162</v>
      </c>
      <c r="B61" s="45" t="s">
        <v>163</v>
      </c>
      <c r="C61" s="46">
        <f>9476918.73</f>
        <v>9476918.7300000004</v>
      </c>
      <c r="D61" s="47">
        <f>9280656.1</f>
        <v>9280656.0999999996</v>
      </c>
      <c r="E61" s="47">
        <f>10859294</f>
        <v>10859294</v>
      </c>
      <c r="F61" s="48">
        <f>9963467.6</f>
        <v>9963467.5999999996</v>
      </c>
      <c r="G61" s="49">
        <f>11651899</f>
        <v>11651899</v>
      </c>
      <c r="H61" s="50">
        <f>11659393</f>
        <v>11659393</v>
      </c>
      <c r="I61" s="50">
        <f>11862062</f>
        <v>11862062</v>
      </c>
      <c r="J61" s="50">
        <f>11714227</f>
        <v>11714227</v>
      </c>
      <c r="K61" s="50">
        <f>12007083</f>
        <v>12007083</v>
      </c>
      <c r="L61" s="50">
        <f>12307260</f>
        <v>12307260</v>
      </c>
      <c r="M61" s="50">
        <f>12614942</f>
        <v>12614942</v>
      </c>
      <c r="N61" s="50">
        <f>12930316</f>
        <v>12930316</v>
      </c>
      <c r="O61" s="50">
        <f>13253574</f>
        <v>13253574</v>
      </c>
      <c r="P61" s="50">
        <f>13584913</f>
        <v>13584913</v>
      </c>
      <c r="Q61" s="50">
        <f>13924536</f>
        <v>13924536</v>
      </c>
      <c r="R61" s="50">
        <f>14272649</f>
        <v>14272649</v>
      </c>
      <c r="S61" s="50">
        <f>14629465</f>
        <v>14629465</v>
      </c>
      <c r="T61" s="50">
        <f>14995202</f>
        <v>14995202</v>
      </c>
      <c r="U61" s="50">
        <f>15370082</f>
        <v>15370082</v>
      </c>
      <c r="V61" s="50">
        <f>15754334</f>
        <v>15754334</v>
      </c>
    </row>
    <row r="62" spans="1:22" ht="31.5" customHeight="1">
      <c r="A62" s="44" t="s">
        <v>164</v>
      </c>
      <c r="B62" s="45" t="s">
        <v>165</v>
      </c>
      <c r="C62" s="46">
        <f>4132971.46</f>
        <v>4132971.46</v>
      </c>
      <c r="D62" s="47">
        <f>2032849.68</f>
        <v>2032849.68</v>
      </c>
      <c r="E62" s="47">
        <f>2813593</f>
        <v>2813593</v>
      </c>
      <c r="F62" s="48">
        <f>2598399.8</f>
        <v>2598399.7999999998</v>
      </c>
      <c r="G62" s="49">
        <f>9028741</f>
        <v>9028741</v>
      </c>
      <c r="H62" s="50">
        <f>15655360</f>
        <v>15655360</v>
      </c>
      <c r="I62" s="50">
        <f>15465336</f>
        <v>15465336</v>
      </c>
      <c r="J62" s="50">
        <f>6500000</f>
        <v>6500000</v>
      </c>
      <c r="K62" s="50">
        <f>0</f>
        <v>0</v>
      </c>
      <c r="L62" s="50">
        <f>0</f>
        <v>0</v>
      </c>
      <c r="M62" s="50">
        <f>0</f>
        <v>0</v>
      </c>
      <c r="N62" s="50">
        <f>0</f>
        <v>0</v>
      </c>
      <c r="O62" s="50">
        <f>0</f>
        <v>0</v>
      </c>
      <c r="P62" s="50">
        <f>0</f>
        <v>0</v>
      </c>
      <c r="Q62" s="50">
        <f>0</f>
        <v>0</v>
      </c>
      <c r="R62" s="50">
        <f>0</f>
        <v>0</v>
      </c>
      <c r="S62" s="50">
        <f>0</f>
        <v>0</v>
      </c>
      <c r="T62" s="50">
        <f>0</f>
        <v>0</v>
      </c>
      <c r="U62" s="50">
        <f>0</f>
        <v>0</v>
      </c>
      <c r="V62" s="50">
        <f>0</f>
        <v>0</v>
      </c>
    </row>
    <row r="63" spans="1:22" ht="18" customHeight="1">
      <c r="A63" s="44" t="s">
        <v>166</v>
      </c>
      <c r="B63" s="45" t="s">
        <v>167</v>
      </c>
      <c r="C63" s="46">
        <f>1952911.6</f>
        <v>1952911.6</v>
      </c>
      <c r="D63" s="47">
        <f>1900497.84</f>
        <v>1900497.84</v>
      </c>
      <c r="E63" s="47">
        <f>1905618</f>
        <v>1905618</v>
      </c>
      <c r="F63" s="48">
        <f>1723051.81</f>
        <v>1723051.81</v>
      </c>
      <c r="G63" s="49">
        <f>891576</f>
        <v>891576</v>
      </c>
      <c r="H63" s="50">
        <f>156462</f>
        <v>156462</v>
      </c>
      <c r="I63" s="50">
        <f>0</f>
        <v>0</v>
      </c>
      <c r="J63" s="50">
        <f>0</f>
        <v>0</v>
      </c>
      <c r="K63" s="50">
        <f>0</f>
        <v>0</v>
      </c>
      <c r="L63" s="50">
        <f>0</f>
        <v>0</v>
      </c>
      <c r="M63" s="50">
        <f>0</f>
        <v>0</v>
      </c>
      <c r="N63" s="50">
        <f>0</f>
        <v>0</v>
      </c>
      <c r="O63" s="50">
        <f>0</f>
        <v>0</v>
      </c>
      <c r="P63" s="50">
        <f>0</f>
        <v>0</v>
      </c>
      <c r="Q63" s="50">
        <f>0</f>
        <v>0</v>
      </c>
      <c r="R63" s="50">
        <f>0</f>
        <v>0</v>
      </c>
      <c r="S63" s="50">
        <f>0</f>
        <v>0</v>
      </c>
      <c r="T63" s="50">
        <f>0</f>
        <v>0</v>
      </c>
      <c r="U63" s="50">
        <f>0</f>
        <v>0</v>
      </c>
      <c r="V63" s="50">
        <f>0</f>
        <v>0</v>
      </c>
    </row>
    <row r="64" spans="1:22" ht="18" customHeight="1">
      <c r="A64" s="44" t="s">
        <v>168</v>
      </c>
      <c r="B64" s="45" t="s">
        <v>169</v>
      </c>
      <c r="C64" s="46">
        <f>2180059.86</f>
        <v>2180059.86</v>
      </c>
      <c r="D64" s="47">
        <f>132351.84</f>
        <v>132351.84</v>
      </c>
      <c r="E64" s="47">
        <f>907975</f>
        <v>907975</v>
      </c>
      <c r="F64" s="48">
        <f>875347.99</f>
        <v>875347.99</v>
      </c>
      <c r="G64" s="49">
        <f>8137165</f>
        <v>8137165</v>
      </c>
      <c r="H64" s="50">
        <f>15498898</f>
        <v>15498898</v>
      </c>
      <c r="I64" s="50">
        <f>15465336</f>
        <v>15465336</v>
      </c>
      <c r="J64" s="50">
        <f>6500000</f>
        <v>6500000</v>
      </c>
      <c r="K64" s="50">
        <f>0</f>
        <v>0</v>
      </c>
      <c r="L64" s="50">
        <f>0</f>
        <v>0</v>
      </c>
      <c r="M64" s="50">
        <f>0</f>
        <v>0</v>
      </c>
      <c r="N64" s="50">
        <f>0</f>
        <v>0</v>
      </c>
      <c r="O64" s="50">
        <f>0</f>
        <v>0</v>
      </c>
      <c r="P64" s="50">
        <f>0</f>
        <v>0</v>
      </c>
      <c r="Q64" s="50">
        <f>0</f>
        <v>0</v>
      </c>
      <c r="R64" s="50">
        <f>0</f>
        <v>0</v>
      </c>
      <c r="S64" s="50">
        <f>0</f>
        <v>0</v>
      </c>
      <c r="T64" s="50">
        <f>0</f>
        <v>0</v>
      </c>
      <c r="U64" s="50">
        <f>0</f>
        <v>0</v>
      </c>
      <c r="V64" s="50">
        <f>0</f>
        <v>0</v>
      </c>
    </row>
    <row r="65" spans="1:22" ht="18" customHeight="1">
      <c r="A65" s="44" t="s">
        <v>170</v>
      </c>
      <c r="B65" s="45" t="s">
        <v>171</v>
      </c>
      <c r="C65" s="46">
        <f>1199789.35</f>
        <v>1199789.3500000001</v>
      </c>
      <c r="D65" s="47">
        <f>35000</f>
        <v>35000</v>
      </c>
      <c r="E65" s="47">
        <f>780000</f>
        <v>780000</v>
      </c>
      <c r="F65" s="48">
        <f>754548.64</f>
        <v>754548.64</v>
      </c>
      <c r="G65" s="49">
        <f>7885844</f>
        <v>7885844</v>
      </c>
      <c r="H65" s="50">
        <f>15378761</f>
        <v>15378761</v>
      </c>
      <c r="I65" s="50">
        <f>15350000</f>
        <v>15350000</v>
      </c>
      <c r="J65" s="50">
        <f>6500000</f>
        <v>6500000</v>
      </c>
      <c r="K65" s="50">
        <f>0</f>
        <v>0</v>
      </c>
      <c r="L65" s="50">
        <f>0</f>
        <v>0</v>
      </c>
      <c r="M65" s="50">
        <f>0</f>
        <v>0</v>
      </c>
      <c r="N65" s="50">
        <f>0</f>
        <v>0</v>
      </c>
      <c r="O65" s="50">
        <f>0</f>
        <v>0</v>
      </c>
      <c r="P65" s="50">
        <f>0</f>
        <v>0</v>
      </c>
      <c r="Q65" s="50">
        <f>0</f>
        <v>0</v>
      </c>
      <c r="R65" s="50">
        <f>0</f>
        <v>0</v>
      </c>
      <c r="S65" s="50">
        <f>0</f>
        <v>0</v>
      </c>
      <c r="T65" s="50">
        <f>0</f>
        <v>0</v>
      </c>
      <c r="U65" s="50">
        <f>0</f>
        <v>0</v>
      </c>
      <c r="V65" s="50">
        <f>0</f>
        <v>0</v>
      </c>
    </row>
    <row r="66" spans="1:22" ht="18" customHeight="1">
      <c r="A66" s="44" t="s">
        <v>172</v>
      </c>
      <c r="B66" s="45" t="s">
        <v>173</v>
      </c>
      <c r="C66" s="46">
        <f>3800090.8</f>
        <v>3800090.8</v>
      </c>
      <c r="D66" s="47">
        <f>7323145.22</f>
        <v>7323145.2199999997</v>
      </c>
      <c r="E66" s="47">
        <f>5888642</f>
        <v>5888642</v>
      </c>
      <c r="F66" s="48">
        <f>5975191.67</f>
        <v>5975191.6699999999</v>
      </c>
      <c r="G66" s="49">
        <f>5029535</f>
        <v>5029535</v>
      </c>
      <c r="H66" s="50">
        <f>416018</f>
        <v>416018</v>
      </c>
      <c r="I66" s="50">
        <f>2229535</f>
        <v>2229535</v>
      </c>
      <c r="J66" s="50">
        <f>1286076</f>
        <v>1286076</v>
      </c>
      <c r="K66" s="50">
        <f>10240200</f>
        <v>10240200</v>
      </c>
      <c r="L66" s="50">
        <f>13375236</f>
        <v>13375236</v>
      </c>
      <c r="M66" s="50">
        <f>15780705</f>
        <v>15780705</v>
      </c>
      <c r="N66" s="50">
        <f>18285667</f>
        <v>18285667</v>
      </c>
      <c r="O66" s="50">
        <f>22589112</f>
        <v>22589112</v>
      </c>
      <c r="P66" s="50">
        <f>24166260</f>
        <v>24166260</v>
      </c>
      <c r="Q66" s="50">
        <f>26347700</f>
        <v>26347700</v>
      </c>
      <c r="R66" s="50">
        <f>27737960</f>
        <v>27737960</v>
      </c>
      <c r="S66" s="50">
        <f>29230078</f>
        <v>29230078</v>
      </c>
      <c r="T66" s="50">
        <f>32058370</f>
        <v>32058370</v>
      </c>
      <c r="U66" s="50">
        <f>33392691</f>
        <v>33392691</v>
      </c>
      <c r="V66" s="50">
        <f>34784585</f>
        <v>34784585</v>
      </c>
    </row>
    <row r="67" spans="1:22" ht="18" customHeight="1">
      <c r="A67" s="44" t="s">
        <v>174</v>
      </c>
      <c r="B67" s="45" t="s">
        <v>175</v>
      </c>
      <c r="C67" s="46">
        <f>980270.51</f>
        <v>980270.51</v>
      </c>
      <c r="D67" s="47">
        <f>133351.84</f>
        <v>133351.84</v>
      </c>
      <c r="E67" s="47">
        <f>160975</f>
        <v>160975</v>
      </c>
      <c r="F67" s="48">
        <f>151426.54</f>
        <v>151426.54</v>
      </c>
      <c r="G67" s="49">
        <f>157021</f>
        <v>157021</v>
      </c>
      <c r="H67" s="50">
        <f>120137</f>
        <v>120137</v>
      </c>
      <c r="I67" s="50">
        <f>115336</f>
        <v>115336</v>
      </c>
      <c r="J67" s="50">
        <f>0</f>
        <v>0</v>
      </c>
      <c r="K67" s="50">
        <f>0</f>
        <v>0</v>
      </c>
      <c r="L67" s="50">
        <f>0</f>
        <v>0</v>
      </c>
      <c r="M67" s="50">
        <f>0</f>
        <v>0</v>
      </c>
      <c r="N67" s="50">
        <f>0</f>
        <v>0</v>
      </c>
      <c r="O67" s="50">
        <f>0</f>
        <v>0</v>
      </c>
      <c r="P67" s="50">
        <f>0</f>
        <v>0</v>
      </c>
      <c r="Q67" s="50">
        <f>0</f>
        <v>0</v>
      </c>
      <c r="R67" s="50">
        <f>0</f>
        <v>0</v>
      </c>
      <c r="S67" s="50">
        <f>0</f>
        <v>0</v>
      </c>
      <c r="T67" s="50">
        <f>0</f>
        <v>0</v>
      </c>
      <c r="U67" s="50">
        <f>0</f>
        <v>0</v>
      </c>
      <c r="V67" s="50">
        <f>0</f>
        <v>0</v>
      </c>
    </row>
    <row r="68" spans="1:22" ht="60">
      <c r="A68" s="37">
        <v>12</v>
      </c>
      <c r="B68" s="38" t="s">
        <v>176</v>
      </c>
      <c r="C68" s="51" t="s">
        <v>132</v>
      </c>
      <c r="D68" s="52" t="s">
        <v>132</v>
      </c>
      <c r="E68" s="52" t="s">
        <v>132</v>
      </c>
      <c r="F68" s="53" t="s">
        <v>132</v>
      </c>
      <c r="G68" s="54" t="s">
        <v>132</v>
      </c>
      <c r="H68" s="55" t="s">
        <v>132</v>
      </c>
      <c r="I68" s="55" t="s">
        <v>132</v>
      </c>
      <c r="J68" s="55" t="s">
        <v>132</v>
      </c>
      <c r="K68" s="55" t="s">
        <v>132</v>
      </c>
      <c r="L68" s="55" t="s">
        <v>132</v>
      </c>
      <c r="M68" s="55" t="s">
        <v>132</v>
      </c>
      <c r="N68" s="55" t="s">
        <v>132</v>
      </c>
      <c r="O68" s="55" t="s">
        <v>132</v>
      </c>
      <c r="P68" s="55" t="s">
        <v>132</v>
      </c>
      <c r="Q68" s="55" t="s">
        <v>132</v>
      </c>
      <c r="R68" s="55" t="s">
        <v>132</v>
      </c>
      <c r="S68" s="55" t="s">
        <v>132</v>
      </c>
      <c r="T68" s="55" t="s">
        <v>132</v>
      </c>
      <c r="U68" s="55" t="s">
        <v>132</v>
      </c>
      <c r="V68" s="55" t="s">
        <v>132</v>
      </c>
    </row>
    <row r="69" spans="1:22" ht="52.5" customHeight="1">
      <c r="A69" s="44" t="s">
        <v>177</v>
      </c>
      <c r="B69" s="45" t="s">
        <v>178</v>
      </c>
      <c r="C69" s="46">
        <f>2051828.86</f>
        <v>2051828.86</v>
      </c>
      <c r="D69" s="47">
        <f>1760525.6</f>
        <v>1760525.6</v>
      </c>
      <c r="E69" s="47">
        <f>1609117</f>
        <v>1609117</v>
      </c>
      <c r="F69" s="48">
        <f>1464674.96</f>
        <v>1464674.96</v>
      </c>
      <c r="G69" s="49">
        <f>1039676</f>
        <v>1039676</v>
      </c>
      <c r="H69" s="50">
        <f>156462</f>
        <v>156462</v>
      </c>
      <c r="I69" s="50">
        <f>0</f>
        <v>0</v>
      </c>
      <c r="J69" s="50">
        <f>0</f>
        <v>0</v>
      </c>
      <c r="K69" s="50">
        <f>0</f>
        <v>0</v>
      </c>
      <c r="L69" s="50">
        <f>0</f>
        <v>0</v>
      </c>
      <c r="M69" s="50">
        <f>0</f>
        <v>0</v>
      </c>
      <c r="N69" s="50">
        <f>0</f>
        <v>0</v>
      </c>
      <c r="O69" s="50">
        <f>0</f>
        <v>0</v>
      </c>
      <c r="P69" s="50">
        <f>0</f>
        <v>0</v>
      </c>
      <c r="Q69" s="50">
        <f>0</f>
        <v>0</v>
      </c>
      <c r="R69" s="50">
        <f>0</f>
        <v>0</v>
      </c>
      <c r="S69" s="50">
        <f>0</f>
        <v>0</v>
      </c>
      <c r="T69" s="50">
        <f>0</f>
        <v>0</v>
      </c>
      <c r="U69" s="50">
        <f>0</f>
        <v>0</v>
      </c>
      <c r="V69" s="50">
        <f>0</f>
        <v>0</v>
      </c>
    </row>
    <row r="70" spans="1:22" ht="30" customHeight="1">
      <c r="A70" s="44" t="s">
        <v>179</v>
      </c>
      <c r="B70" s="64" t="s">
        <v>180</v>
      </c>
      <c r="C70" s="46">
        <f>1843071.69</f>
        <v>1843071.69</v>
      </c>
      <c r="D70" s="47">
        <f>1577486.27</f>
        <v>1577486.27</v>
      </c>
      <c r="E70" s="47">
        <f>1529131</f>
        <v>1529131</v>
      </c>
      <c r="F70" s="48">
        <f>1385887.31</f>
        <v>1385887.31</v>
      </c>
      <c r="G70" s="49">
        <f>1017461</f>
        <v>1017461</v>
      </c>
      <c r="H70" s="50">
        <f>156462</f>
        <v>156462</v>
      </c>
      <c r="I70" s="50">
        <f>0</f>
        <v>0</v>
      </c>
      <c r="J70" s="50">
        <f>0</f>
        <v>0</v>
      </c>
      <c r="K70" s="50">
        <f>0</f>
        <v>0</v>
      </c>
      <c r="L70" s="50">
        <f>0</f>
        <v>0</v>
      </c>
      <c r="M70" s="50">
        <f>0</f>
        <v>0</v>
      </c>
      <c r="N70" s="50">
        <f>0</f>
        <v>0</v>
      </c>
      <c r="O70" s="50">
        <f>0</f>
        <v>0</v>
      </c>
      <c r="P70" s="50">
        <f>0</f>
        <v>0</v>
      </c>
      <c r="Q70" s="50">
        <f>0</f>
        <v>0</v>
      </c>
      <c r="R70" s="50">
        <f>0</f>
        <v>0</v>
      </c>
      <c r="S70" s="50">
        <f>0</f>
        <v>0</v>
      </c>
      <c r="T70" s="50">
        <f>0</f>
        <v>0</v>
      </c>
      <c r="U70" s="50">
        <f>0</f>
        <v>0</v>
      </c>
      <c r="V70" s="50">
        <f>0</f>
        <v>0</v>
      </c>
    </row>
    <row r="71" spans="1:22" ht="54" customHeight="1">
      <c r="A71" s="44" t="s">
        <v>181</v>
      </c>
      <c r="B71" s="64" t="s">
        <v>182</v>
      </c>
      <c r="C71" s="46">
        <f>1843071.69</f>
        <v>1843071.69</v>
      </c>
      <c r="D71" s="47">
        <f>1577486.27</f>
        <v>1577486.27</v>
      </c>
      <c r="E71" s="47">
        <f>1529131</f>
        <v>1529131</v>
      </c>
      <c r="F71" s="48">
        <f>1385887.31</f>
        <v>1385887.31</v>
      </c>
      <c r="G71" s="49">
        <f>1017461</f>
        <v>1017461</v>
      </c>
      <c r="H71" s="50">
        <f>156462</f>
        <v>156462</v>
      </c>
      <c r="I71" s="50">
        <f>0</f>
        <v>0</v>
      </c>
      <c r="J71" s="50">
        <f>0</f>
        <v>0</v>
      </c>
      <c r="K71" s="50">
        <f>0</f>
        <v>0</v>
      </c>
      <c r="L71" s="50">
        <f>0</f>
        <v>0</v>
      </c>
      <c r="M71" s="50">
        <f>0</f>
        <v>0</v>
      </c>
      <c r="N71" s="50">
        <f>0</f>
        <v>0</v>
      </c>
      <c r="O71" s="50">
        <f>0</f>
        <v>0</v>
      </c>
      <c r="P71" s="50">
        <f>0</f>
        <v>0</v>
      </c>
      <c r="Q71" s="50">
        <f>0</f>
        <v>0</v>
      </c>
      <c r="R71" s="50">
        <f>0</f>
        <v>0</v>
      </c>
      <c r="S71" s="50">
        <f>0</f>
        <v>0</v>
      </c>
      <c r="T71" s="50">
        <f>0</f>
        <v>0</v>
      </c>
      <c r="U71" s="50">
        <f>0</f>
        <v>0</v>
      </c>
      <c r="V71" s="50">
        <f>0</f>
        <v>0</v>
      </c>
    </row>
    <row r="72" spans="1:22" ht="53.25" customHeight="1">
      <c r="A72" s="44" t="s">
        <v>183</v>
      </c>
      <c r="B72" s="45" t="s">
        <v>184</v>
      </c>
      <c r="C72" s="46">
        <f>0</f>
        <v>0</v>
      </c>
      <c r="D72" s="47">
        <f>0</f>
        <v>0</v>
      </c>
      <c r="E72" s="47">
        <f>0</f>
        <v>0</v>
      </c>
      <c r="F72" s="48">
        <f>0</f>
        <v>0</v>
      </c>
      <c r="G72" s="49">
        <f>1120</f>
        <v>1120</v>
      </c>
      <c r="H72" s="50">
        <f>939241</f>
        <v>939241</v>
      </c>
      <c r="I72" s="50">
        <f>0</f>
        <v>0</v>
      </c>
      <c r="J72" s="50">
        <f>0</f>
        <v>0</v>
      </c>
      <c r="K72" s="50">
        <f>0</f>
        <v>0</v>
      </c>
      <c r="L72" s="50">
        <f>0</f>
        <v>0</v>
      </c>
      <c r="M72" s="50">
        <f>0</f>
        <v>0</v>
      </c>
      <c r="N72" s="50">
        <f>0</f>
        <v>0</v>
      </c>
      <c r="O72" s="50">
        <f>0</f>
        <v>0</v>
      </c>
      <c r="P72" s="50">
        <f>0</f>
        <v>0</v>
      </c>
      <c r="Q72" s="50">
        <f>0</f>
        <v>0</v>
      </c>
      <c r="R72" s="50">
        <f>0</f>
        <v>0</v>
      </c>
      <c r="S72" s="50">
        <f>0</f>
        <v>0</v>
      </c>
      <c r="T72" s="50">
        <f>0</f>
        <v>0</v>
      </c>
      <c r="U72" s="50">
        <f>0</f>
        <v>0</v>
      </c>
      <c r="V72" s="50">
        <f>0</f>
        <v>0</v>
      </c>
    </row>
    <row r="73" spans="1:22" ht="28.5" customHeight="1">
      <c r="A73" s="44" t="s">
        <v>185</v>
      </c>
      <c r="B73" s="64" t="s">
        <v>180</v>
      </c>
      <c r="C73" s="46">
        <f>0</f>
        <v>0</v>
      </c>
      <c r="D73" s="47">
        <f>0</f>
        <v>0</v>
      </c>
      <c r="E73" s="47">
        <f>0</f>
        <v>0</v>
      </c>
      <c r="F73" s="48">
        <f>0</f>
        <v>0</v>
      </c>
      <c r="G73" s="49">
        <f>1120</f>
        <v>1120</v>
      </c>
      <c r="H73" s="50">
        <f>675561</f>
        <v>675561</v>
      </c>
      <c r="I73" s="50">
        <f>0</f>
        <v>0</v>
      </c>
      <c r="J73" s="50">
        <f>0</f>
        <v>0</v>
      </c>
      <c r="K73" s="50">
        <f>0</f>
        <v>0</v>
      </c>
      <c r="L73" s="50">
        <f>0</f>
        <v>0</v>
      </c>
      <c r="M73" s="50">
        <f>0</f>
        <v>0</v>
      </c>
      <c r="N73" s="50">
        <f>0</f>
        <v>0</v>
      </c>
      <c r="O73" s="50">
        <f>0</f>
        <v>0</v>
      </c>
      <c r="P73" s="50">
        <f>0</f>
        <v>0</v>
      </c>
      <c r="Q73" s="50">
        <f>0</f>
        <v>0</v>
      </c>
      <c r="R73" s="50">
        <f>0</f>
        <v>0</v>
      </c>
      <c r="S73" s="50">
        <f>0</f>
        <v>0</v>
      </c>
      <c r="T73" s="50">
        <f>0</f>
        <v>0</v>
      </c>
      <c r="U73" s="50">
        <f>0</f>
        <v>0</v>
      </c>
      <c r="V73" s="50">
        <f>0</f>
        <v>0</v>
      </c>
    </row>
    <row r="74" spans="1:22" ht="55.5" customHeight="1">
      <c r="A74" s="44" t="s">
        <v>186</v>
      </c>
      <c r="B74" s="64" t="s">
        <v>187</v>
      </c>
      <c r="C74" s="46">
        <f>0</f>
        <v>0</v>
      </c>
      <c r="D74" s="47">
        <f>0</f>
        <v>0</v>
      </c>
      <c r="E74" s="47">
        <f>0</f>
        <v>0</v>
      </c>
      <c r="F74" s="48">
        <f>0</f>
        <v>0</v>
      </c>
      <c r="G74" s="49">
        <f>1120</f>
        <v>1120</v>
      </c>
      <c r="H74" s="50">
        <f>675561</f>
        <v>675561</v>
      </c>
      <c r="I74" s="50">
        <f>0</f>
        <v>0</v>
      </c>
      <c r="J74" s="50">
        <f>0</f>
        <v>0</v>
      </c>
      <c r="K74" s="50">
        <f>0</f>
        <v>0</v>
      </c>
      <c r="L74" s="50">
        <f>0</f>
        <v>0</v>
      </c>
      <c r="M74" s="50">
        <f>0</f>
        <v>0</v>
      </c>
      <c r="N74" s="50">
        <f>0</f>
        <v>0</v>
      </c>
      <c r="O74" s="50">
        <f>0</f>
        <v>0</v>
      </c>
      <c r="P74" s="50">
        <f>0</f>
        <v>0</v>
      </c>
      <c r="Q74" s="50">
        <f>0</f>
        <v>0</v>
      </c>
      <c r="R74" s="50">
        <f>0</f>
        <v>0</v>
      </c>
      <c r="S74" s="50">
        <f>0</f>
        <v>0</v>
      </c>
      <c r="T74" s="50">
        <f>0</f>
        <v>0</v>
      </c>
      <c r="U74" s="50">
        <f>0</f>
        <v>0</v>
      </c>
      <c r="V74" s="50">
        <f>0</f>
        <v>0</v>
      </c>
    </row>
    <row r="75" spans="1:22" ht="54" customHeight="1">
      <c r="A75" s="44" t="s">
        <v>188</v>
      </c>
      <c r="B75" s="45" t="s">
        <v>189</v>
      </c>
      <c r="C75" s="46">
        <f>1952911.6</f>
        <v>1952911.6</v>
      </c>
      <c r="D75" s="47">
        <f>1860497.84</f>
        <v>1860497.84</v>
      </c>
      <c r="E75" s="47">
        <f>1805618</f>
        <v>1805618</v>
      </c>
      <c r="F75" s="48">
        <f>1657551.81</f>
        <v>1657551.81</v>
      </c>
      <c r="G75" s="49">
        <f>891576</f>
        <v>891576</v>
      </c>
      <c r="H75" s="50">
        <f>156462</f>
        <v>156462</v>
      </c>
      <c r="I75" s="50">
        <f>0</f>
        <v>0</v>
      </c>
      <c r="J75" s="50">
        <f>0</f>
        <v>0</v>
      </c>
      <c r="K75" s="50">
        <f>0</f>
        <v>0</v>
      </c>
      <c r="L75" s="50">
        <f>0</f>
        <v>0</v>
      </c>
      <c r="M75" s="50">
        <f>0</f>
        <v>0</v>
      </c>
      <c r="N75" s="50">
        <f>0</f>
        <v>0</v>
      </c>
      <c r="O75" s="50">
        <f>0</f>
        <v>0</v>
      </c>
      <c r="P75" s="50">
        <f>0</f>
        <v>0</v>
      </c>
      <c r="Q75" s="50">
        <f>0</f>
        <v>0</v>
      </c>
      <c r="R75" s="50">
        <f>0</f>
        <v>0</v>
      </c>
      <c r="S75" s="50">
        <f>0</f>
        <v>0</v>
      </c>
      <c r="T75" s="50">
        <f>0</f>
        <v>0</v>
      </c>
      <c r="U75" s="50">
        <f>0</f>
        <v>0</v>
      </c>
      <c r="V75" s="50">
        <f>0</f>
        <v>0</v>
      </c>
    </row>
    <row r="76" spans="1:22" ht="39" customHeight="1">
      <c r="A76" s="44" t="s">
        <v>190</v>
      </c>
      <c r="B76" s="64" t="s">
        <v>191</v>
      </c>
      <c r="C76" s="46">
        <f>1719728.07</f>
        <v>1719728.07</v>
      </c>
      <c r="D76" s="47">
        <f>1577486.27</f>
        <v>1577486.27</v>
      </c>
      <c r="E76" s="47">
        <f>1655957</f>
        <v>1655957</v>
      </c>
      <c r="F76" s="48">
        <f>1511772.32</f>
        <v>1511772.32</v>
      </c>
      <c r="G76" s="49">
        <f>891576</f>
        <v>891576</v>
      </c>
      <c r="H76" s="50">
        <f>156462</f>
        <v>156462</v>
      </c>
      <c r="I76" s="50">
        <f>0</f>
        <v>0</v>
      </c>
      <c r="J76" s="50">
        <f>0</f>
        <v>0</v>
      </c>
      <c r="K76" s="50">
        <f>0</f>
        <v>0</v>
      </c>
      <c r="L76" s="50">
        <f>0</f>
        <v>0</v>
      </c>
      <c r="M76" s="50">
        <f>0</f>
        <v>0</v>
      </c>
      <c r="N76" s="50">
        <f>0</f>
        <v>0</v>
      </c>
      <c r="O76" s="50">
        <f>0</f>
        <v>0</v>
      </c>
      <c r="P76" s="50">
        <f>0</f>
        <v>0</v>
      </c>
      <c r="Q76" s="50">
        <f>0</f>
        <v>0</v>
      </c>
      <c r="R76" s="50">
        <f>0</f>
        <v>0</v>
      </c>
      <c r="S76" s="50">
        <f>0</f>
        <v>0</v>
      </c>
      <c r="T76" s="50">
        <f>0</f>
        <v>0</v>
      </c>
      <c r="U76" s="50">
        <f>0</f>
        <v>0</v>
      </c>
      <c r="V76" s="50">
        <f>0</f>
        <v>0</v>
      </c>
    </row>
    <row r="77" spans="1:22" ht="81.75" customHeight="1">
      <c r="A77" s="44" t="s">
        <v>192</v>
      </c>
      <c r="B77" s="45" t="s">
        <v>193</v>
      </c>
      <c r="C77" s="46">
        <f>1719728.07</f>
        <v>1719728.07</v>
      </c>
      <c r="D77" s="47">
        <f>1577486.27</f>
        <v>1577486.27</v>
      </c>
      <c r="E77" s="47">
        <f>1655957</f>
        <v>1655957</v>
      </c>
      <c r="F77" s="48">
        <f>1511772.32</f>
        <v>1511772.32</v>
      </c>
      <c r="G77" s="49">
        <f>891576</f>
        <v>891576</v>
      </c>
      <c r="H77" s="50">
        <f>156462</f>
        <v>156462</v>
      </c>
      <c r="I77" s="50">
        <f>0</f>
        <v>0</v>
      </c>
      <c r="J77" s="50">
        <f>0</f>
        <v>0</v>
      </c>
      <c r="K77" s="50">
        <f>0</f>
        <v>0</v>
      </c>
      <c r="L77" s="50">
        <f>0</f>
        <v>0</v>
      </c>
      <c r="M77" s="50">
        <f>0</f>
        <v>0</v>
      </c>
      <c r="N77" s="50">
        <f>0</f>
        <v>0</v>
      </c>
      <c r="O77" s="50">
        <f>0</f>
        <v>0</v>
      </c>
      <c r="P77" s="50">
        <f>0</f>
        <v>0</v>
      </c>
      <c r="Q77" s="50">
        <f>0</f>
        <v>0</v>
      </c>
      <c r="R77" s="50">
        <f>0</f>
        <v>0</v>
      </c>
      <c r="S77" s="50">
        <f>0</f>
        <v>0</v>
      </c>
      <c r="T77" s="50">
        <f>0</f>
        <v>0</v>
      </c>
      <c r="U77" s="50">
        <f>0</f>
        <v>0</v>
      </c>
      <c r="V77" s="50">
        <f>0</f>
        <v>0</v>
      </c>
    </row>
    <row r="78" spans="1:22" ht="54" customHeight="1">
      <c r="A78" s="44" t="s">
        <v>194</v>
      </c>
      <c r="B78" s="45" t="s">
        <v>195</v>
      </c>
      <c r="C78" s="46">
        <f>256135.95</f>
        <v>256135.95</v>
      </c>
      <c r="D78" s="47">
        <f>97351.84</f>
        <v>97351.84</v>
      </c>
      <c r="E78" s="47">
        <f>124975</f>
        <v>124975</v>
      </c>
      <c r="F78" s="48">
        <f>117799.35</f>
        <v>117799.35</v>
      </c>
      <c r="G78" s="49">
        <f>68621</f>
        <v>68621</v>
      </c>
      <c r="H78" s="50">
        <f>1098898</f>
        <v>1098898</v>
      </c>
      <c r="I78" s="50">
        <f>115336</f>
        <v>115336</v>
      </c>
      <c r="J78" s="50">
        <f>0</f>
        <v>0</v>
      </c>
      <c r="K78" s="50">
        <f>0</f>
        <v>0</v>
      </c>
      <c r="L78" s="50">
        <f>0</f>
        <v>0</v>
      </c>
      <c r="M78" s="50">
        <f>0</f>
        <v>0</v>
      </c>
      <c r="N78" s="50">
        <f>0</f>
        <v>0</v>
      </c>
      <c r="O78" s="50">
        <f>0</f>
        <v>0</v>
      </c>
      <c r="P78" s="50">
        <f>0</f>
        <v>0</v>
      </c>
      <c r="Q78" s="50">
        <f>0</f>
        <v>0</v>
      </c>
      <c r="R78" s="50">
        <f>0</f>
        <v>0</v>
      </c>
      <c r="S78" s="50">
        <f>0</f>
        <v>0</v>
      </c>
      <c r="T78" s="50">
        <f>0</f>
        <v>0</v>
      </c>
      <c r="U78" s="50">
        <f>0</f>
        <v>0</v>
      </c>
      <c r="V78" s="50">
        <f>0</f>
        <v>0</v>
      </c>
    </row>
    <row r="79" spans="1:22" ht="42" customHeight="1">
      <c r="A79" s="44" t="s">
        <v>196</v>
      </c>
      <c r="B79" s="64" t="s">
        <v>197</v>
      </c>
      <c r="C79" s="46">
        <f>0</f>
        <v>0</v>
      </c>
      <c r="D79" s="47">
        <f>0</f>
        <v>0</v>
      </c>
      <c r="E79" s="47">
        <f>0</f>
        <v>0</v>
      </c>
      <c r="F79" s="48">
        <f>0</f>
        <v>0</v>
      </c>
      <c r="G79" s="49">
        <f>1120</f>
        <v>1120</v>
      </c>
      <c r="H79" s="50">
        <f>675561</f>
        <v>675561</v>
      </c>
      <c r="I79" s="50">
        <f>0</f>
        <v>0</v>
      </c>
      <c r="J79" s="50">
        <f>0</f>
        <v>0</v>
      </c>
      <c r="K79" s="50">
        <f>0</f>
        <v>0</v>
      </c>
      <c r="L79" s="50">
        <f>0</f>
        <v>0</v>
      </c>
      <c r="M79" s="50">
        <f>0</f>
        <v>0</v>
      </c>
      <c r="N79" s="50">
        <f>0</f>
        <v>0</v>
      </c>
      <c r="O79" s="50">
        <f>0</f>
        <v>0</v>
      </c>
      <c r="P79" s="50">
        <f>0</f>
        <v>0</v>
      </c>
      <c r="Q79" s="50">
        <f>0</f>
        <v>0</v>
      </c>
      <c r="R79" s="50">
        <f>0</f>
        <v>0</v>
      </c>
      <c r="S79" s="50">
        <f>0</f>
        <v>0</v>
      </c>
      <c r="T79" s="50">
        <f>0</f>
        <v>0</v>
      </c>
      <c r="U79" s="50">
        <f>0</f>
        <v>0</v>
      </c>
      <c r="V79" s="50">
        <f>0</f>
        <v>0</v>
      </c>
    </row>
    <row r="80" spans="1:22" ht="78" customHeight="1">
      <c r="A80" s="44" t="s">
        <v>198</v>
      </c>
      <c r="B80" s="45" t="s">
        <v>199</v>
      </c>
      <c r="C80" s="46">
        <f>0</f>
        <v>0</v>
      </c>
      <c r="D80" s="47">
        <f>0</f>
        <v>0</v>
      </c>
      <c r="E80" s="47">
        <f>0</f>
        <v>0</v>
      </c>
      <c r="F80" s="48">
        <f>0</f>
        <v>0</v>
      </c>
      <c r="G80" s="49">
        <f>1120</f>
        <v>1120</v>
      </c>
      <c r="H80" s="50">
        <f>675561</f>
        <v>675561</v>
      </c>
      <c r="I80" s="50">
        <f>0</f>
        <v>0</v>
      </c>
      <c r="J80" s="50">
        <f>0</f>
        <v>0</v>
      </c>
      <c r="K80" s="50">
        <f>0</f>
        <v>0</v>
      </c>
      <c r="L80" s="50">
        <f>0</f>
        <v>0</v>
      </c>
      <c r="M80" s="50">
        <f>0</f>
        <v>0</v>
      </c>
      <c r="N80" s="50">
        <f>0</f>
        <v>0</v>
      </c>
      <c r="O80" s="50">
        <f>0</f>
        <v>0</v>
      </c>
      <c r="P80" s="50">
        <f>0</f>
        <v>0</v>
      </c>
      <c r="Q80" s="50">
        <f>0</f>
        <v>0</v>
      </c>
      <c r="R80" s="50">
        <f>0</f>
        <v>0</v>
      </c>
      <c r="S80" s="50">
        <f>0</f>
        <v>0</v>
      </c>
      <c r="T80" s="50">
        <f>0</f>
        <v>0</v>
      </c>
      <c r="U80" s="50">
        <f>0</f>
        <v>0</v>
      </c>
      <c r="V80" s="50">
        <f>0</f>
        <v>0</v>
      </c>
    </row>
    <row r="81" spans="1:22" ht="87" customHeight="1">
      <c r="A81" s="44" t="s">
        <v>200</v>
      </c>
      <c r="B81" s="45" t="s">
        <v>201</v>
      </c>
      <c r="C81" s="46">
        <f>489319.48</f>
        <v>489319.48</v>
      </c>
      <c r="D81" s="47">
        <f>380363.41</f>
        <v>380363.41</v>
      </c>
      <c r="E81" s="47">
        <f>274636</f>
        <v>274636</v>
      </c>
      <c r="F81" s="48">
        <f>263578.84</f>
        <v>263578.84000000003</v>
      </c>
      <c r="G81" s="49">
        <f>67501</f>
        <v>67501</v>
      </c>
      <c r="H81" s="50">
        <f>423337</f>
        <v>423337</v>
      </c>
      <c r="I81" s="50">
        <f>115336</f>
        <v>115336</v>
      </c>
      <c r="J81" s="50">
        <f>0</f>
        <v>0</v>
      </c>
      <c r="K81" s="50">
        <f>0</f>
        <v>0</v>
      </c>
      <c r="L81" s="50">
        <f>0</f>
        <v>0</v>
      </c>
      <c r="M81" s="50">
        <f>0</f>
        <v>0</v>
      </c>
      <c r="N81" s="50">
        <f>0</f>
        <v>0</v>
      </c>
      <c r="O81" s="50">
        <f>0</f>
        <v>0</v>
      </c>
      <c r="P81" s="50">
        <f>0</f>
        <v>0</v>
      </c>
      <c r="Q81" s="50">
        <f>0</f>
        <v>0</v>
      </c>
      <c r="R81" s="50">
        <f>0</f>
        <v>0</v>
      </c>
      <c r="S81" s="50">
        <f>0</f>
        <v>0</v>
      </c>
      <c r="T81" s="50">
        <f>0</f>
        <v>0</v>
      </c>
      <c r="U81" s="50">
        <f>0</f>
        <v>0</v>
      </c>
      <c r="V81" s="50">
        <f>0</f>
        <v>0</v>
      </c>
    </row>
    <row r="82" spans="1:22" ht="42" customHeight="1">
      <c r="A82" s="44" t="s">
        <v>202</v>
      </c>
      <c r="B82" s="45" t="s">
        <v>203</v>
      </c>
      <c r="C82" s="46">
        <f>489319.48</f>
        <v>489319.48</v>
      </c>
      <c r="D82" s="47">
        <f>380363.41</f>
        <v>380363.41</v>
      </c>
      <c r="E82" s="47">
        <f>267462</f>
        <v>267462</v>
      </c>
      <c r="F82" s="48">
        <f>263578.84</f>
        <v>263578.84000000003</v>
      </c>
      <c r="G82" s="49">
        <f>67501</f>
        <v>67501</v>
      </c>
      <c r="H82" s="50">
        <f>423337</f>
        <v>423337</v>
      </c>
      <c r="I82" s="50">
        <f>115336</f>
        <v>115336</v>
      </c>
      <c r="J82" s="50">
        <f>0</f>
        <v>0</v>
      </c>
      <c r="K82" s="50">
        <f>0</f>
        <v>0</v>
      </c>
      <c r="L82" s="50">
        <f>0</f>
        <v>0</v>
      </c>
      <c r="M82" s="50">
        <f>0</f>
        <v>0</v>
      </c>
      <c r="N82" s="50">
        <f>0</f>
        <v>0</v>
      </c>
      <c r="O82" s="50">
        <f>0</f>
        <v>0</v>
      </c>
      <c r="P82" s="50">
        <f>0</f>
        <v>0</v>
      </c>
      <c r="Q82" s="50">
        <f>0</f>
        <v>0</v>
      </c>
      <c r="R82" s="50">
        <f>0</f>
        <v>0</v>
      </c>
      <c r="S82" s="50">
        <f>0</f>
        <v>0</v>
      </c>
      <c r="T82" s="50">
        <f>0</f>
        <v>0</v>
      </c>
      <c r="U82" s="50">
        <f>0</f>
        <v>0</v>
      </c>
      <c r="V82" s="50">
        <f>0</f>
        <v>0</v>
      </c>
    </row>
    <row r="83" spans="1:22" ht="81" customHeight="1">
      <c r="A83" s="44" t="s">
        <v>204</v>
      </c>
      <c r="B83" s="45" t="s">
        <v>205</v>
      </c>
      <c r="C83" s="46">
        <f>0</f>
        <v>0</v>
      </c>
      <c r="D83" s="47">
        <f>131162.93</f>
        <v>131162.93</v>
      </c>
      <c r="E83" s="47">
        <f>49371</f>
        <v>49371</v>
      </c>
      <c r="F83" s="48">
        <f>48172</f>
        <v>48172</v>
      </c>
      <c r="G83" s="49">
        <f>67501</f>
        <v>67501</v>
      </c>
      <c r="H83" s="50">
        <f>423337</f>
        <v>423337</v>
      </c>
      <c r="I83" s="50">
        <f>115336</f>
        <v>115336</v>
      </c>
      <c r="J83" s="50">
        <f>0</f>
        <v>0</v>
      </c>
      <c r="K83" s="50">
        <f>0</f>
        <v>0</v>
      </c>
      <c r="L83" s="50">
        <f>0</f>
        <v>0</v>
      </c>
      <c r="M83" s="50">
        <f>0</f>
        <v>0</v>
      </c>
      <c r="N83" s="50">
        <f>0</f>
        <v>0</v>
      </c>
      <c r="O83" s="50">
        <f>0</f>
        <v>0</v>
      </c>
      <c r="P83" s="50">
        <f>0</f>
        <v>0</v>
      </c>
      <c r="Q83" s="50">
        <f>0</f>
        <v>0</v>
      </c>
      <c r="R83" s="50">
        <f>0</f>
        <v>0</v>
      </c>
      <c r="S83" s="50">
        <f>0</f>
        <v>0</v>
      </c>
      <c r="T83" s="50">
        <f>0</f>
        <v>0</v>
      </c>
      <c r="U83" s="50">
        <f>0</f>
        <v>0</v>
      </c>
      <c r="V83" s="50">
        <f>0</f>
        <v>0</v>
      </c>
    </row>
    <row r="84" spans="1:22" ht="42" customHeight="1">
      <c r="A84" s="44" t="s">
        <v>206</v>
      </c>
      <c r="B84" s="45" t="s">
        <v>203</v>
      </c>
      <c r="C84" s="46">
        <f>0</f>
        <v>0</v>
      </c>
      <c r="D84" s="47">
        <f>131162.93</f>
        <v>131162.93</v>
      </c>
      <c r="E84" s="47">
        <f>49371</f>
        <v>49371</v>
      </c>
      <c r="F84" s="48">
        <f>48172</f>
        <v>48172</v>
      </c>
      <c r="G84" s="49">
        <f>67501</f>
        <v>67501</v>
      </c>
      <c r="H84" s="50">
        <f>423337</f>
        <v>423337</v>
      </c>
      <c r="I84" s="50">
        <f>115336</f>
        <v>115336</v>
      </c>
      <c r="J84" s="50">
        <f>0</f>
        <v>0</v>
      </c>
      <c r="K84" s="50">
        <f>0</f>
        <v>0</v>
      </c>
      <c r="L84" s="50">
        <f>0</f>
        <v>0</v>
      </c>
      <c r="M84" s="50">
        <f>0</f>
        <v>0</v>
      </c>
      <c r="N84" s="50">
        <f>0</f>
        <v>0</v>
      </c>
      <c r="O84" s="50">
        <f>0</f>
        <v>0</v>
      </c>
      <c r="P84" s="50">
        <f>0</f>
        <v>0</v>
      </c>
      <c r="Q84" s="50">
        <f>0</f>
        <v>0</v>
      </c>
      <c r="R84" s="50">
        <f>0</f>
        <v>0</v>
      </c>
      <c r="S84" s="50">
        <f>0</f>
        <v>0</v>
      </c>
      <c r="T84" s="50">
        <f>0</f>
        <v>0</v>
      </c>
      <c r="U84" s="50">
        <f>0</f>
        <v>0</v>
      </c>
      <c r="V84" s="50">
        <f>0</f>
        <v>0</v>
      </c>
    </row>
    <row r="85" spans="1:22" ht="108">
      <c r="A85" s="44" t="s">
        <v>207</v>
      </c>
      <c r="B85" s="45" t="s">
        <v>208</v>
      </c>
      <c r="C85" s="46">
        <f>0</f>
        <v>0</v>
      </c>
      <c r="D85" s="47">
        <f>0</f>
        <v>0</v>
      </c>
      <c r="E85" s="47">
        <f>0</f>
        <v>0</v>
      </c>
      <c r="F85" s="48">
        <f>0</f>
        <v>0</v>
      </c>
      <c r="G85" s="49">
        <f>0</f>
        <v>0</v>
      </c>
      <c r="H85" s="50">
        <f>0</f>
        <v>0</v>
      </c>
      <c r="I85" s="50">
        <f>0</f>
        <v>0</v>
      </c>
      <c r="J85" s="50">
        <f>0</f>
        <v>0</v>
      </c>
      <c r="K85" s="50">
        <f>0</f>
        <v>0</v>
      </c>
      <c r="L85" s="50">
        <f>0</f>
        <v>0</v>
      </c>
      <c r="M85" s="50">
        <f>0</f>
        <v>0</v>
      </c>
      <c r="N85" s="50">
        <f>0</f>
        <v>0</v>
      </c>
      <c r="O85" s="50">
        <f>0</f>
        <v>0</v>
      </c>
      <c r="P85" s="50">
        <f>0</f>
        <v>0</v>
      </c>
      <c r="Q85" s="50">
        <f>0</f>
        <v>0</v>
      </c>
      <c r="R85" s="50">
        <f>0</f>
        <v>0</v>
      </c>
      <c r="S85" s="50">
        <f>0</f>
        <v>0</v>
      </c>
      <c r="T85" s="50">
        <f>0</f>
        <v>0</v>
      </c>
      <c r="U85" s="50">
        <f>0</f>
        <v>0</v>
      </c>
      <c r="V85" s="50">
        <f>0</f>
        <v>0</v>
      </c>
    </row>
    <row r="86" spans="1:22" ht="42" customHeight="1">
      <c r="A86" s="44" t="s">
        <v>209</v>
      </c>
      <c r="B86" s="45" t="s">
        <v>203</v>
      </c>
      <c r="C86" s="46">
        <f>0</f>
        <v>0</v>
      </c>
      <c r="D86" s="47">
        <f>0</f>
        <v>0</v>
      </c>
      <c r="E86" s="47">
        <f>0</f>
        <v>0</v>
      </c>
      <c r="F86" s="48">
        <f>0</f>
        <v>0</v>
      </c>
      <c r="G86" s="49">
        <f>0</f>
        <v>0</v>
      </c>
      <c r="H86" s="50">
        <f>0</f>
        <v>0</v>
      </c>
      <c r="I86" s="50">
        <f>0</f>
        <v>0</v>
      </c>
      <c r="J86" s="50">
        <f>0</f>
        <v>0</v>
      </c>
      <c r="K86" s="50">
        <f>0</f>
        <v>0</v>
      </c>
      <c r="L86" s="50">
        <f>0</f>
        <v>0</v>
      </c>
      <c r="M86" s="50">
        <f>0</f>
        <v>0</v>
      </c>
      <c r="N86" s="50">
        <f>0</f>
        <v>0</v>
      </c>
      <c r="O86" s="50">
        <f>0</f>
        <v>0</v>
      </c>
      <c r="P86" s="50">
        <f>0</f>
        <v>0</v>
      </c>
      <c r="Q86" s="50">
        <f>0</f>
        <v>0</v>
      </c>
      <c r="R86" s="50">
        <f>0</f>
        <v>0</v>
      </c>
      <c r="S86" s="50">
        <f>0</f>
        <v>0</v>
      </c>
      <c r="T86" s="50">
        <f>0</f>
        <v>0</v>
      </c>
      <c r="U86" s="50">
        <f>0</f>
        <v>0</v>
      </c>
      <c r="V86" s="50">
        <f>0</f>
        <v>0</v>
      </c>
    </row>
    <row r="87" spans="1:22" ht="111.75" customHeight="1">
      <c r="A87" s="44" t="s">
        <v>210</v>
      </c>
      <c r="B87" s="45" t="s">
        <v>211</v>
      </c>
      <c r="C87" s="46">
        <f>0</f>
        <v>0</v>
      </c>
      <c r="D87" s="47">
        <f>0</f>
        <v>0</v>
      </c>
      <c r="E87" s="47">
        <f>0</f>
        <v>0</v>
      </c>
      <c r="F87" s="48">
        <f>0</f>
        <v>0</v>
      </c>
      <c r="G87" s="49">
        <f>0</f>
        <v>0</v>
      </c>
      <c r="H87" s="50">
        <f>0</f>
        <v>0</v>
      </c>
      <c r="I87" s="50">
        <f>0</f>
        <v>0</v>
      </c>
      <c r="J87" s="50">
        <f>0</f>
        <v>0</v>
      </c>
      <c r="K87" s="50">
        <f>0</f>
        <v>0</v>
      </c>
      <c r="L87" s="50">
        <f>0</f>
        <v>0</v>
      </c>
      <c r="M87" s="50">
        <f>0</f>
        <v>0</v>
      </c>
      <c r="N87" s="50">
        <f>0</f>
        <v>0</v>
      </c>
      <c r="O87" s="50">
        <f>0</f>
        <v>0</v>
      </c>
      <c r="P87" s="50">
        <f>0</f>
        <v>0</v>
      </c>
      <c r="Q87" s="50">
        <f>0</f>
        <v>0</v>
      </c>
      <c r="R87" s="50">
        <f>0</f>
        <v>0</v>
      </c>
      <c r="S87" s="50">
        <f>0</f>
        <v>0</v>
      </c>
      <c r="T87" s="50">
        <f>0</f>
        <v>0</v>
      </c>
      <c r="U87" s="50">
        <f>0</f>
        <v>0</v>
      </c>
      <c r="V87" s="50">
        <f>0</f>
        <v>0</v>
      </c>
    </row>
    <row r="88" spans="1:22" ht="39.75" customHeight="1">
      <c r="A88" s="44" t="s">
        <v>212</v>
      </c>
      <c r="B88" s="45" t="s">
        <v>203</v>
      </c>
      <c r="C88" s="46">
        <f>0</f>
        <v>0</v>
      </c>
      <c r="D88" s="47">
        <f>0</f>
        <v>0</v>
      </c>
      <c r="E88" s="47">
        <f>0</f>
        <v>0</v>
      </c>
      <c r="F88" s="48">
        <f>0</f>
        <v>0</v>
      </c>
      <c r="G88" s="49">
        <f>0</f>
        <v>0</v>
      </c>
      <c r="H88" s="50">
        <f>0</f>
        <v>0</v>
      </c>
      <c r="I88" s="50">
        <f>0</f>
        <v>0</v>
      </c>
      <c r="J88" s="50">
        <f>0</f>
        <v>0</v>
      </c>
      <c r="K88" s="50">
        <f>0</f>
        <v>0</v>
      </c>
      <c r="L88" s="50">
        <f>0</f>
        <v>0</v>
      </c>
      <c r="M88" s="50">
        <f>0</f>
        <v>0</v>
      </c>
      <c r="N88" s="50">
        <f>0</f>
        <v>0</v>
      </c>
      <c r="O88" s="50">
        <f>0</f>
        <v>0</v>
      </c>
      <c r="P88" s="50">
        <f>0</f>
        <v>0</v>
      </c>
      <c r="Q88" s="50">
        <f>0</f>
        <v>0</v>
      </c>
      <c r="R88" s="50">
        <f>0</f>
        <v>0</v>
      </c>
      <c r="S88" s="50">
        <f>0</f>
        <v>0</v>
      </c>
      <c r="T88" s="50">
        <f>0</f>
        <v>0</v>
      </c>
      <c r="U88" s="50">
        <f>0</f>
        <v>0</v>
      </c>
      <c r="V88" s="50">
        <f>0</f>
        <v>0</v>
      </c>
    </row>
    <row r="89" spans="1:22" ht="69" customHeight="1">
      <c r="A89" s="37">
        <v>13</v>
      </c>
      <c r="B89" s="38" t="s">
        <v>213</v>
      </c>
      <c r="C89" s="51" t="s">
        <v>132</v>
      </c>
      <c r="D89" s="52" t="s">
        <v>132</v>
      </c>
      <c r="E89" s="52" t="s">
        <v>132</v>
      </c>
      <c r="F89" s="53" t="s">
        <v>132</v>
      </c>
      <c r="G89" s="54" t="s">
        <v>132</v>
      </c>
      <c r="H89" s="55" t="s">
        <v>132</v>
      </c>
      <c r="I89" s="55" t="s">
        <v>132</v>
      </c>
      <c r="J89" s="55" t="s">
        <v>132</v>
      </c>
      <c r="K89" s="55" t="s">
        <v>132</v>
      </c>
      <c r="L89" s="55" t="s">
        <v>132</v>
      </c>
      <c r="M89" s="55" t="s">
        <v>132</v>
      </c>
      <c r="N89" s="55" t="s">
        <v>132</v>
      </c>
      <c r="O89" s="55" t="s">
        <v>132</v>
      </c>
      <c r="P89" s="55" t="s">
        <v>132</v>
      </c>
      <c r="Q89" s="55" t="s">
        <v>132</v>
      </c>
      <c r="R89" s="55" t="s">
        <v>132</v>
      </c>
      <c r="S89" s="55" t="s">
        <v>132</v>
      </c>
      <c r="T89" s="55" t="s">
        <v>132</v>
      </c>
      <c r="U89" s="55" t="s">
        <v>132</v>
      </c>
      <c r="V89" s="55" t="s">
        <v>132</v>
      </c>
    </row>
    <row r="90" spans="1:22" ht="78.75" customHeight="1">
      <c r="A90" s="44" t="s">
        <v>214</v>
      </c>
      <c r="B90" s="45" t="s">
        <v>215</v>
      </c>
      <c r="C90" s="46">
        <f>7461502.27</f>
        <v>7461502.2699999996</v>
      </c>
      <c r="D90" s="47">
        <f>6162076.32</f>
        <v>6162076.3200000003</v>
      </c>
      <c r="E90" s="47">
        <f>3928572</f>
        <v>3928572</v>
      </c>
      <c r="F90" s="48">
        <f>3928571.45</f>
        <v>3928571.45</v>
      </c>
      <c r="G90" s="49">
        <f>3273810</f>
        <v>3273810</v>
      </c>
      <c r="H90" s="50">
        <f>2619048</f>
        <v>2619048</v>
      </c>
      <c r="I90" s="50">
        <f>1964286</f>
        <v>1964286</v>
      </c>
      <c r="J90" s="50">
        <f>1309524</f>
        <v>1309524</v>
      </c>
      <c r="K90" s="50">
        <f>654762</f>
        <v>654762</v>
      </c>
      <c r="L90" s="50">
        <f>0</f>
        <v>0</v>
      </c>
      <c r="M90" s="50">
        <f>0</f>
        <v>0</v>
      </c>
      <c r="N90" s="50">
        <f>0</f>
        <v>0</v>
      </c>
      <c r="O90" s="50">
        <f>0</f>
        <v>0</v>
      </c>
      <c r="P90" s="50">
        <f>0</f>
        <v>0</v>
      </c>
      <c r="Q90" s="50">
        <f>0</f>
        <v>0</v>
      </c>
      <c r="R90" s="50">
        <f>0</f>
        <v>0</v>
      </c>
      <c r="S90" s="50">
        <f>0</f>
        <v>0</v>
      </c>
      <c r="T90" s="50">
        <f>0</f>
        <v>0</v>
      </c>
      <c r="U90" s="50">
        <f>0</f>
        <v>0</v>
      </c>
      <c r="V90" s="50">
        <f>0</f>
        <v>0</v>
      </c>
    </row>
    <row r="91" spans="1:22" ht="83.25" customHeight="1">
      <c r="A91" s="44" t="s">
        <v>216</v>
      </c>
      <c r="B91" s="45" t="s">
        <v>217</v>
      </c>
      <c r="C91" s="46">
        <f>466411.41</f>
        <v>466411.41</v>
      </c>
      <c r="D91" s="47">
        <f>70033.37</f>
        <v>70033.37</v>
      </c>
      <c r="E91" s="47">
        <f>0</f>
        <v>0</v>
      </c>
      <c r="F91" s="48">
        <f>0</f>
        <v>0</v>
      </c>
      <c r="G91" s="49">
        <f>0</f>
        <v>0</v>
      </c>
      <c r="H91" s="50">
        <f>0</f>
        <v>0</v>
      </c>
      <c r="I91" s="50">
        <f>0</f>
        <v>0</v>
      </c>
      <c r="J91" s="50">
        <f>0</f>
        <v>0</v>
      </c>
      <c r="K91" s="50">
        <f>0</f>
        <v>0</v>
      </c>
      <c r="L91" s="50">
        <f>0</f>
        <v>0</v>
      </c>
      <c r="M91" s="50">
        <f>0</f>
        <v>0</v>
      </c>
      <c r="N91" s="50">
        <f>0</f>
        <v>0</v>
      </c>
      <c r="O91" s="50">
        <f>0</f>
        <v>0</v>
      </c>
      <c r="P91" s="50">
        <f>0</f>
        <v>0</v>
      </c>
      <c r="Q91" s="50">
        <f>0</f>
        <v>0</v>
      </c>
      <c r="R91" s="50">
        <f>0</f>
        <v>0</v>
      </c>
      <c r="S91" s="50">
        <f>0</f>
        <v>0</v>
      </c>
      <c r="T91" s="50">
        <f>0</f>
        <v>0</v>
      </c>
      <c r="U91" s="50">
        <f>0</f>
        <v>0</v>
      </c>
      <c r="V91" s="50">
        <f>0</f>
        <v>0</v>
      </c>
    </row>
    <row r="92" spans="1:22" ht="46.5" customHeight="1">
      <c r="A92" s="44" t="s">
        <v>218</v>
      </c>
      <c r="B92" s="45" t="s">
        <v>219</v>
      </c>
      <c r="C92" s="46">
        <f>1647108.93</f>
        <v>1647108.93</v>
      </c>
      <c r="D92" s="47">
        <f>0</f>
        <v>0</v>
      </c>
      <c r="E92" s="47">
        <f>0</f>
        <v>0</v>
      </c>
      <c r="F92" s="48">
        <f>0</f>
        <v>0</v>
      </c>
      <c r="G92" s="49">
        <f>0</f>
        <v>0</v>
      </c>
      <c r="H92" s="50">
        <f>0</f>
        <v>0</v>
      </c>
      <c r="I92" s="50">
        <f>0</f>
        <v>0</v>
      </c>
      <c r="J92" s="50">
        <f>0</f>
        <v>0</v>
      </c>
      <c r="K92" s="50">
        <f>0</f>
        <v>0</v>
      </c>
      <c r="L92" s="50">
        <f>0</f>
        <v>0</v>
      </c>
      <c r="M92" s="50">
        <f>0</f>
        <v>0</v>
      </c>
      <c r="N92" s="50">
        <f>0</f>
        <v>0</v>
      </c>
      <c r="O92" s="50">
        <f>0</f>
        <v>0</v>
      </c>
      <c r="P92" s="50">
        <f>0</f>
        <v>0</v>
      </c>
      <c r="Q92" s="50">
        <f>0</f>
        <v>0</v>
      </c>
      <c r="R92" s="50">
        <f>0</f>
        <v>0</v>
      </c>
      <c r="S92" s="50">
        <f>0</f>
        <v>0</v>
      </c>
      <c r="T92" s="50">
        <f>0</f>
        <v>0</v>
      </c>
      <c r="U92" s="50">
        <f>0</f>
        <v>0</v>
      </c>
      <c r="V92" s="50">
        <f>0</f>
        <v>0</v>
      </c>
    </row>
    <row r="93" spans="1:22" ht="80.25" customHeight="1">
      <c r="A93" s="44" t="s">
        <v>220</v>
      </c>
      <c r="B93" s="45" t="s">
        <v>221</v>
      </c>
      <c r="C93" s="46">
        <f>26739219.05</f>
        <v>26739219.050000001</v>
      </c>
      <c r="D93" s="47">
        <f>1120959.84</f>
        <v>1120959.8400000001</v>
      </c>
      <c r="E93" s="47">
        <f>2233505</f>
        <v>2233505</v>
      </c>
      <c r="F93" s="48">
        <f>2233504.87</f>
        <v>2233504.87</v>
      </c>
      <c r="G93" s="49">
        <f t="shared" ref="G93:L93" si="13">654762</f>
        <v>654762</v>
      </c>
      <c r="H93" s="50">
        <f t="shared" si="13"/>
        <v>654762</v>
      </c>
      <c r="I93" s="50">
        <f t="shared" si="13"/>
        <v>654762</v>
      </c>
      <c r="J93" s="50">
        <f t="shared" si="13"/>
        <v>654762</v>
      </c>
      <c r="K93" s="50">
        <f t="shared" si="13"/>
        <v>654762</v>
      </c>
      <c r="L93" s="50">
        <f t="shared" si="13"/>
        <v>654762</v>
      </c>
      <c r="M93" s="50">
        <f>0</f>
        <v>0</v>
      </c>
      <c r="N93" s="50">
        <f>0</f>
        <v>0</v>
      </c>
      <c r="O93" s="50">
        <f>0</f>
        <v>0</v>
      </c>
      <c r="P93" s="50">
        <f>0</f>
        <v>0</v>
      </c>
      <c r="Q93" s="50">
        <f>0</f>
        <v>0</v>
      </c>
      <c r="R93" s="50">
        <f>0</f>
        <v>0</v>
      </c>
      <c r="S93" s="50">
        <f>0</f>
        <v>0</v>
      </c>
      <c r="T93" s="50">
        <f>0</f>
        <v>0</v>
      </c>
      <c r="U93" s="50">
        <f>0</f>
        <v>0</v>
      </c>
      <c r="V93" s="50">
        <f>0</f>
        <v>0</v>
      </c>
    </row>
    <row r="94" spans="1:22" ht="75" customHeight="1">
      <c r="A94" s="44" t="s">
        <v>222</v>
      </c>
      <c r="B94" s="45" t="s">
        <v>223</v>
      </c>
      <c r="C94" s="46">
        <f>0</f>
        <v>0</v>
      </c>
      <c r="D94" s="47">
        <f>0</f>
        <v>0</v>
      </c>
      <c r="E94" s="47">
        <f>0</f>
        <v>0</v>
      </c>
      <c r="F94" s="48">
        <f>0</f>
        <v>0</v>
      </c>
      <c r="G94" s="49">
        <f>0</f>
        <v>0</v>
      </c>
      <c r="H94" s="50">
        <f>0</f>
        <v>0</v>
      </c>
      <c r="I94" s="50">
        <f>0</f>
        <v>0</v>
      </c>
      <c r="J94" s="50">
        <f>0</f>
        <v>0</v>
      </c>
      <c r="K94" s="50">
        <f>0</f>
        <v>0</v>
      </c>
      <c r="L94" s="50">
        <f>0</f>
        <v>0</v>
      </c>
      <c r="M94" s="50">
        <f>0</f>
        <v>0</v>
      </c>
      <c r="N94" s="50">
        <f>0</f>
        <v>0</v>
      </c>
      <c r="O94" s="50">
        <f>0</f>
        <v>0</v>
      </c>
      <c r="P94" s="50">
        <f>0</f>
        <v>0</v>
      </c>
      <c r="Q94" s="50">
        <f>0</f>
        <v>0</v>
      </c>
      <c r="R94" s="50">
        <f>0</f>
        <v>0</v>
      </c>
      <c r="S94" s="50">
        <f>0</f>
        <v>0</v>
      </c>
      <c r="T94" s="50">
        <f>0</f>
        <v>0</v>
      </c>
      <c r="U94" s="50">
        <f>0</f>
        <v>0</v>
      </c>
      <c r="V94" s="50">
        <f>0</f>
        <v>0</v>
      </c>
    </row>
    <row r="95" spans="1:22" ht="72.75" customHeight="1">
      <c r="A95" s="44" t="s">
        <v>224</v>
      </c>
      <c r="B95" s="45" t="s">
        <v>225</v>
      </c>
      <c r="C95" s="46">
        <f>0</f>
        <v>0</v>
      </c>
      <c r="D95" s="47">
        <f>0</f>
        <v>0</v>
      </c>
      <c r="E95" s="47">
        <f>0</f>
        <v>0</v>
      </c>
      <c r="F95" s="48">
        <f>0</f>
        <v>0</v>
      </c>
      <c r="G95" s="49">
        <f>0</f>
        <v>0</v>
      </c>
      <c r="H95" s="50">
        <f>0</f>
        <v>0</v>
      </c>
      <c r="I95" s="50">
        <f>0</f>
        <v>0</v>
      </c>
      <c r="J95" s="50">
        <f>0</f>
        <v>0</v>
      </c>
      <c r="K95" s="50">
        <f>0</f>
        <v>0</v>
      </c>
      <c r="L95" s="50">
        <f>0</f>
        <v>0</v>
      </c>
      <c r="M95" s="50">
        <f>0</f>
        <v>0</v>
      </c>
      <c r="N95" s="50">
        <f>0</f>
        <v>0</v>
      </c>
      <c r="O95" s="50">
        <f>0</f>
        <v>0</v>
      </c>
      <c r="P95" s="50">
        <f>0</f>
        <v>0</v>
      </c>
      <c r="Q95" s="50">
        <f>0</f>
        <v>0</v>
      </c>
      <c r="R95" s="50">
        <f>0</f>
        <v>0</v>
      </c>
      <c r="S95" s="50">
        <f>0</f>
        <v>0</v>
      </c>
      <c r="T95" s="50">
        <f>0</f>
        <v>0</v>
      </c>
      <c r="U95" s="50">
        <f>0</f>
        <v>0</v>
      </c>
      <c r="V95" s="50">
        <f>0</f>
        <v>0</v>
      </c>
    </row>
    <row r="96" spans="1:22" ht="53.25" customHeight="1">
      <c r="A96" s="44" t="s">
        <v>226</v>
      </c>
      <c r="B96" s="45" t="s">
        <v>227</v>
      </c>
      <c r="C96" s="46">
        <f>0</f>
        <v>0</v>
      </c>
      <c r="D96" s="47">
        <f>0</f>
        <v>0</v>
      </c>
      <c r="E96" s="47">
        <f>0</f>
        <v>0</v>
      </c>
      <c r="F96" s="48">
        <f>0</f>
        <v>0</v>
      </c>
      <c r="G96" s="49">
        <f>0</f>
        <v>0</v>
      </c>
      <c r="H96" s="50">
        <f>0</f>
        <v>0</v>
      </c>
      <c r="I96" s="50">
        <f>0</f>
        <v>0</v>
      </c>
      <c r="J96" s="50">
        <f>0</f>
        <v>0</v>
      </c>
      <c r="K96" s="50">
        <f>0</f>
        <v>0</v>
      </c>
      <c r="L96" s="50">
        <f>0</f>
        <v>0</v>
      </c>
      <c r="M96" s="50">
        <f>0</f>
        <v>0</v>
      </c>
      <c r="N96" s="50">
        <f>0</f>
        <v>0</v>
      </c>
      <c r="O96" s="50">
        <f>0</f>
        <v>0</v>
      </c>
      <c r="P96" s="50">
        <f>0</f>
        <v>0</v>
      </c>
      <c r="Q96" s="50">
        <f>0</f>
        <v>0</v>
      </c>
      <c r="R96" s="50">
        <f>0</f>
        <v>0</v>
      </c>
      <c r="S96" s="50">
        <f>0</f>
        <v>0</v>
      </c>
      <c r="T96" s="50">
        <f>0</f>
        <v>0</v>
      </c>
      <c r="U96" s="50">
        <f>0</f>
        <v>0</v>
      </c>
      <c r="V96" s="50">
        <f>0</f>
        <v>0</v>
      </c>
    </row>
    <row r="97" spans="1:22" ht="30" customHeight="1">
      <c r="A97" s="37">
        <v>14</v>
      </c>
      <c r="B97" s="38" t="s">
        <v>228</v>
      </c>
      <c r="C97" s="51" t="s">
        <v>132</v>
      </c>
      <c r="D97" s="52" t="s">
        <v>132</v>
      </c>
      <c r="E97" s="52" t="s">
        <v>132</v>
      </c>
      <c r="F97" s="53" t="s">
        <v>132</v>
      </c>
      <c r="G97" s="54" t="s">
        <v>132</v>
      </c>
      <c r="H97" s="55" t="s">
        <v>132</v>
      </c>
      <c r="I97" s="55" t="s">
        <v>132</v>
      </c>
      <c r="J97" s="55" t="s">
        <v>132</v>
      </c>
      <c r="K97" s="55" t="s">
        <v>132</v>
      </c>
      <c r="L97" s="55" t="s">
        <v>132</v>
      </c>
      <c r="M97" s="55" t="s">
        <v>132</v>
      </c>
      <c r="N97" s="55" t="s">
        <v>132</v>
      </c>
      <c r="O97" s="55" t="s">
        <v>132</v>
      </c>
      <c r="P97" s="55" t="s">
        <v>132</v>
      </c>
      <c r="Q97" s="55" t="s">
        <v>132</v>
      </c>
      <c r="R97" s="55" t="s">
        <v>132</v>
      </c>
      <c r="S97" s="55" t="s">
        <v>132</v>
      </c>
      <c r="T97" s="55" t="s">
        <v>132</v>
      </c>
      <c r="U97" s="55" t="s">
        <v>132</v>
      </c>
      <c r="V97" s="55" t="s">
        <v>132</v>
      </c>
    </row>
    <row r="98" spans="1:22" ht="66" customHeight="1">
      <c r="A98" s="44" t="s">
        <v>229</v>
      </c>
      <c r="B98" s="45" t="s">
        <v>230</v>
      </c>
      <c r="C98" s="46">
        <f>5654557</f>
        <v>5654557</v>
      </c>
      <c r="D98" s="47">
        <f>7051032</f>
        <v>7051032</v>
      </c>
      <c r="E98" s="47">
        <f>7257181</f>
        <v>7257181</v>
      </c>
      <c r="F98" s="48">
        <f>7257180.85</f>
        <v>7257180.8499999996</v>
      </c>
      <c r="G98" s="49">
        <f>7229323</f>
        <v>7229323</v>
      </c>
      <c r="H98" s="50">
        <f>6677276</f>
        <v>6677276</v>
      </c>
      <c r="I98" s="50">
        <f>6510929</f>
        <v>6510929</v>
      </c>
      <c r="J98" s="50">
        <f>5388276</f>
        <v>5388276</v>
      </c>
      <c r="K98" s="50">
        <f>4414612</f>
        <v>4414612</v>
      </c>
      <c r="L98" s="50">
        <f>3342000</f>
        <v>3342000</v>
      </c>
      <c r="M98" s="50">
        <f>3442000</f>
        <v>3442000</v>
      </c>
      <c r="N98" s="50">
        <f>2692000</f>
        <v>2692000</v>
      </c>
      <c r="O98" s="50">
        <f>2692000</f>
        <v>2692000</v>
      </c>
      <c r="P98" s="50">
        <f>2692000</f>
        <v>2692000</v>
      </c>
      <c r="Q98" s="50">
        <f>1900000</f>
        <v>1900000</v>
      </c>
      <c r="R98" s="50">
        <f>1900000</f>
        <v>1900000</v>
      </c>
      <c r="S98" s="50">
        <f>1900000</f>
        <v>1900000</v>
      </c>
      <c r="T98" s="50">
        <f>400000</f>
        <v>400000</v>
      </c>
      <c r="U98" s="50">
        <f>400000</f>
        <v>400000</v>
      </c>
      <c r="V98" s="50">
        <f>400000</f>
        <v>400000</v>
      </c>
    </row>
    <row r="99" spans="1:22" ht="39" customHeight="1">
      <c r="A99" s="44" t="s">
        <v>231</v>
      </c>
      <c r="B99" s="45" t="s">
        <v>232</v>
      </c>
      <c r="C99" s="46">
        <f>7283036.16</f>
        <v>7283036.1600000001</v>
      </c>
      <c r="D99" s="47">
        <f>6162076.32</f>
        <v>6162076.3200000003</v>
      </c>
      <c r="E99" s="47">
        <f>3928572</f>
        <v>3928572</v>
      </c>
      <c r="F99" s="48">
        <f>3928571.45</f>
        <v>3928571.45</v>
      </c>
      <c r="G99" s="49">
        <f>3273810</f>
        <v>3273810</v>
      </c>
      <c r="H99" s="50">
        <f>2619048</f>
        <v>2619048</v>
      </c>
      <c r="I99" s="50">
        <f>1964286</f>
        <v>1964286</v>
      </c>
      <c r="J99" s="50">
        <f>1309524</f>
        <v>1309524</v>
      </c>
      <c r="K99" s="50">
        <f>654762</f>
        <v>654762</v>
      </c>
      <c r="L99" s="50">
        <f>0</f>
        <v>0</v>
      </c>
      <c r="M99" s="50">
        <f>0</f>
        <v>0</v>
      </c>
      <c r="N99" s="50">
        <f>0</f>
        <v>0</v>
      </c>
      <c r="O99" s="50">
        <f>0</f>
        <v>0</v>
      </c>
      <c r="P99" s="50">
        <f>0</f>
        <v>0</v>
      </c>
      <c r="Q99" s="50">
        <f>0</f>
        <v>0</v>
      </c>
      <c r="R99" s="50">
        <f>0</f>
        <v>0</v>
      </c>
      <c r="S99" s="50">
        <f>0</f>
        <v>0</v>
      </c>
      <c r="T99" s="50">
        <f>0</f>
        <v>0</v>
      </c>
      <c r="U99" s="50">
        <f>0</f>
        <v>0</v>
      </c>
      <c r="V99" s="50">
        <f>0</f>
        <v>0</v>
      </c>
    </row>
    <row r="100" spans="1:22" ht="17.25" customHeight="1">
      <c r="A100" s="44" t="s">
        <v>233</v>
      </c>
      <c r="B100" s="45" t="s">
        <v>234</v>
      </c>
      <c r="C100" s="46">
        <f>9290655.44</f>
        <v>9290655.4399999995</v>
      </c>
      <c r="D100" s="47">
        <f>1120959.84</f>
        <v>1120959.8400000001</v>
      </c>
      <c r="E100" s="47">
        <f>2233505</f>
        <v>2233505</v>
      </c>
      <c r="F100" s="48">
        <f>2233504.87</f>
        <v>2233504.87</v>
      </c>
      <c r="G100" s="49">
        <f>654762</f>
        <v>654762</v>
      </c>
      <c r="H100" s="50">
        <f>654762</f>
        <v>654762</v>
      </c>
      <c r="I100" s="50">
        <f>654762</f>
        <v>654762</v>
      </c>
      <c r="J100" s="50">
        <f>654762</f>
        <v>654762</v>
      </c>
      <c r="K100" s="50">
        <f>654762</f>
        <v>654762</v>
      </c>
      <c r="L100" s="50">
        <f>654762</f>
        <v>654762</v>
      </c>
      <c r="M100" s="50">
        <f>0</f>
        <v>0</v>
      </c>
      <c r="N100" s="50">
        <f>0</f>
        <v>0</v>
      </c>
      <c r="O100" s="50">
        <f>0</f>
        <v>0</v>
      </c>
      <c r="P100" s="50">
        <f>0</f>
        <v>0</v>
      </c>
      <c r="Q100" s="50">
        <f>0</f>
        <v>0</v>
      </c>
      <c r="R100" s="50">
        <f>0</f>
        <v>0</v>
      </c>
      <c r="S100" s="50">
        <f>0</f>
        <v>0</v>
      </c>
      <c r="T100" s="50">
        <f>0</f>
        <v>0</v>
      </c>
      <c r="U100" s="50">
        <f>0</f>
        <v>0</v>
      </c>
      <c r="V100" s="50">
        <f>0</f>
        <v>0</v>
      </c>
    </row>
    <row r="101" spans="1:22" ht="36" customHeight="1">
      <c r="A101" s="44" t="s">
        <v>235</v>
      </c>
      <c r="B101" s="45" t="s">
        <v>236</v>
      </c>
      <c r="C101" s="46">
        <f>7933585.6</f>
        <v>7933585.5999999996</v>
      </c>
      <c r="D101" s="47">
        <f>0</f>
        <v>0</v>
      </c>
      <c r="E101" s="47">
        <f>0</f>
        <v>0</v>
      </c>
      <c r="F101" s="48">
        <f>0</f>
        <v>0</v>
      </c>
      <c r="G101" s="49">
        <f>0</f>
        <v>0</v>
      </c>
      <c r="H101" s="50">
        <f>0</f>
        <v>0</v>
      </c>
      <c r="I101" s="50">
        <f>0</f>
        <v>0</v>
      </c>
      <c r="J101" s="50">
        <f>0</f>
        <v>0</v>
      </c>
      <c r="K101" s="50">
        <f>0</f>
        <v>0</v>
      </c>
      <c r="L101" s="50">
        <f>0</f>
        <v>0</v>
      </c>
      <c r="M101" s="50">
        <f>0</f>
        <v>0</v>
      </c>
      <c r="N101" s="50">
        <f>0</f>
        <v>0</v>
      </c>
      <c r="O101" s="50">
        <f>0</f>
        <v>0</v>
      </c>
      <c r="P101" s="50">
        <f>0</f>
        <v>0</v>
      </c>
      <c r="Q101" s="50">
        <f>0</f>
        <v>0</v>
      </c>
      <c r="R101" s="50">
        <f>0</f>
        <v>0</v>
      </c>
      <c r="S101" s="50">
        <f>0</f>
        <v>0</v>
      </c>
      <c r="T101" s="50">
        <f>0</f>
        <v>0</v>
      </c>
      <c r="U101" s="50">
        <f>0</f>
        <v>0</v>
      </c>
      <c r="V101" s="50">
        <f>0</f>
        <v>0</v>
      </c>
    </row>
    <row r="102" spans="1:22" ht="42.75" customHeight="1">
      <c r="A102" s="44" t="s">
        <v>237</v>
      </c>
      <c r="B102" s="45" t="s">
        <v>238</v>
      </c>
      <c r="C102" s="46">
        <f>1357069.84</f>
        <v>1357069.84</v>
      </c>
      <c r="D102" s="47">
        <f>1120959.84</f>
        <v>1120959.8400000001</v>
      </c>
      <c r="E102" s="47">
        <f>2233505</f>
        <v>2233505</v>
      </c>
      <c r="F102" s="48">
        <f>2233504.87</f>
        <v>2233504.87</v>
      </c>
      <c r="G102" s="49">
        <f t="shared" ref="G102:L102" si="14">654762</f>
        <v>654762</v>
      </c>
      <c r="H102" s="50">
        <f t="shared" si="14"/>
        <v>654762</v>
      </c>
      <c r="I102" s="50">
        <f t="shared" si="14"/>
        <v>654762</v>
      </c>
      <c r="J102" s="50">
        <f t="shared" si="14"/>
        <v>654762</v>
      </c>
      <c r="K102" s="50">
        <f t="shared" si="14"/>
        <v>654762</v>
      </c>
      <c r="L102" s="50">
        <f t="shared" si="14"/>
        <v>654762</v>
      </c>
      <c r="M102" s="50">
        <f>0</f>
        <v>0</v>
      </c>
      <c r="N102" s="50">
        <f>0</f>
        <v>0</v>
      </c>
      <c r="O102" s="50">
        <f>0</f>
        <v>0</v>
      </c>
      <c r="P102" s="50">
        <f>0</f>
        <v>0</v>
      </c>
      <c r="Q102" s="50">
        <f>0</f>
        <v>0</v>
      </c>
      <c r="R102" s="50">
        <f>0</f>
        <v>0</v>
      </c>
      <c r="S102" s="50">
        <f>0</f>
        <v>0</v>
      </c>
      <c r="T102" s="50">
        <f>0</f>
        <v>0</v>
      </c>
      <c r="U102" s="50">
        <f>0</f>
        <v>0</v>
      </c>
      <c r="V102" s="50">
        <f>0</f>
        <v>0</v>
      </c>
    </row>
    <row r="103" spans="1:22" ht="33" customHeight="1">
      <c r="A103" s="44" t="s">
        <v>239</v>
      </c>
      <c r="B103" s="45" t="s">
        <v>240</v>
      </c>
      <c r="C103" s="46">
        <f>0</f>
        <v>0</v>
      </c>
      <c r="D103" s="47">
        <f>0</f>
        <v>0</v>
      </c>
      <c r="E103" s="47">
        <f>0</f>
        <v>0</v>
      </c>
      <c r="F103" s="48">
        <f>0</f>
        <v>0</v>
      </c>
      <c r="G103" s="49">
        <f>0</f>
        <v>0</v>
      </c>
      <c r="H103" s="50">
        <f>0</f>
        <v>0</v>
      </c>
      <c r="I103" s="50">
        <f>0</f>
        <v>0</v>
      </c>
      <c r="J103" s="50">
        <f>0</f>
        <v>0</v>
      </c>
      <c r="K103" s="50">
        <f>0</f>
        <v>0</v>
      </c>
      <c r="L103" s="50">
        <f>0</f>
        <v>0</v>
      </c>
      <c r="M103" s="50">
        <f>0</f>
        <v>0</v>
      </c>
      <c r="N103" s="50">
        <f>0</f>
        <v>0</v>
      </c>
      <c r="O103" s="50">
        <f>0</f>
        <v>0</v>
      </c>
      <c r="P103" s="50">
        <f>0</f>
        <v>0</v>
      </c>
      <c r="Q103" s="50">
        <f>0</f>
        <v>0</v>
      </c>
      <c r="R103" s="50">
        <f>0</f>
        <v>0</v>
      </c>
      <c r="S103" s="50">
        <f>0</f>
        <v>0</v>
      </c>
      <c r="T103" s="50">
        <f>0</f>
        <v>0</v>
      </c>
      <c r="U103" s="50">
        <f>0</f>
        <v>0</v>
      </c>
      <c r="V103" s="50">
        <f>0</f>
        <v>0</v>
      </c>
    </row>
    <row r="104" spans="1:22" ht="42" customHeight="1">
      <c r="A104" s="65" t="s">
        <v>241</v>
      </c>
      <c r="B104" s="66" t="s">
        <v>242</v>
      </c>
      <c r="C104" s="67">
        <f>-40624.43</f>
        <v>-40624.43</v>
      </c>
      <c r="D104" s="68">
        <f>-9441.02</f>
        <v>-9441.02</v>
      </c>
      <c r="E104" s="68">
        <f>-71683</f>
        <v>-71683</v>
      </c>
      <c r="F104" s="69">
        <f>-71682.92</f>
        <v>-71682.92</v>
      </c>
      <c r="G104" s="70">
        <f>0</f>
        <v>0</v>
      </c>
      <c r="H104" s="71">
        <f>0</f>
        <v>0</v>
      </c>
      <c r="I104" s="71">
        <f>0</f>
        <v>0</v>
      </c>
      <c r="J104" s="71">
        <f>0</f>
        <v>0</v>
      </c>
      <c r="K104" s="71">
        <f>0</f>
        <v>0</v>
      </c>
      <c r="L104" s="71">
        <f>0</f>
        <v>0</v>
      </c>
      <c r="M104" s="71">
        <f>0</f>
        <v>0</v>
      </c>
      <c r="N104" s="71">
        <f>0</f>
        <v>0</v>
      </c>
      <c r="O104" s="71">
        <f>0</f>
        <v>0</v>
      </c>
      <c r="P104" s="71">
        <f>0</f>
        <v>0</v>
      </c>
      <c r="Q104" s="71">
        <f>0</f>
        <v>0</v>
      </c>
      <c r="R104" s="71">
        <f>0</f>
        <v>0</v>
      </c>
      <c r="S104" s="71">
        <f>0</f>
        <v>0</v>
      </c>
      <c r="T104" s="71">
        <f>0</f>
        <v>0</v>
      </c>
      <c r="U104" s="71">
        <f>0</f>
        <v>0</v>
      </c>
      <c r="V104" s="71">
        <f>0</f>
        <v>0</v>
      </c>
    </row>
    <row r="105" spans="1:22" ht="24" hidden="1">
      <c r="A105" s="72">
        <v>15</v>
      </c>
      <c r="B105" s="73" t="s">
        <v>243</v>
      </c>
      <c r="C105" s="74" t="s">
        <v>132</v>
      </c>
      <c r="D105" s="75" t="s">
        <v>132</v>
      </c>
      <c r="E105" s="75" t="s">
        <v>132</v>
      </c>
      <c r="F105" s="76" t="s">
        <v>132</v>
      </c>
      <c r="G105" s="77" t="s">
        <v>132</v>
      </c>
      <c r="H105" s="78" t="s">
        <v>132</v>
      </c>
      <c r="I105" s="78" t="s">
        <v>132</v>
      </c>
      <c r="J105" s="78" t="s">
        <v>132</v>
      </c>
      <c r="K105" s="78" t="s">
        <v>132</v>
      </c>
      <c r="L105" s="78" t="s">
        <v>132</v>
      </c>
      <c r="M105" s="78" t="s">
        <v>132</v>
      </c>
      <c r="N105" s="78" t="s">
        <v>132</v>
      </c>
      <c r="O105" s="78" t="s">
        <v>132</v>
      </c>
      <c r="P105" s="78" t="s">
        <v>132</v>
      </c>
      <c r="Q105" s="78" t="s">
        <v>132</v>
      </c>
      <c r="R105" s="78" t="s">
        <v>132</v>
      </c>
      <c r="S105" s="78" t="s">
        <v>132</v>
      </c>
      <c r="T105" s="78" t="s">
        <v>132</v>
      </c>
      <c r="U105" s="78" t="s">
        <v>132</v>
      </c>
      <c r="V105" s="78" t="s">
        <v>132</v>
      </c>
    </row>
    <row r="106" spans="1:22" ht="36" hidden="1">
      <c r="A106" s="79" t="s">
        <v>244</v>
      </c>
      <c r="B106" s="80" t="s">
        <v>245</v>
      </c>
      <c r="C106" s="81">
        <f>0</f>
        <v>0</v>
      </c>
      <c r="D106" s="82">
        <f>0</f>
        <v>0</v>
      </c>
      <c r="E106" s="82">
        <f>0</f>
        <v>0</v>
      </c>
      <c r="F106" s="83">
        <f>0</f>
        <v>0</v>
      </c>
      <c r="G106" s="84">
        <f>0</f>
        <v>0</v>
      </c>
      <c r="H106" s="85">
        <f>0</f>
        <v>0</v>
      </c>
      <c r="I106" s="85">
        <f>0</f>
        <v>0</v>
      </c>
      <c r="J106" s="85">
        <f>0</f>
        <v>0</v>
      </c>
      <c r="K106" s="85">
        <f>0</f>
        <v>0</v>
      </c>
      <c r="L106" s="85">
        <f>0</f>
        <v>0</v>
      </c>
      <c r="M106" s="85">
        <f>0</f>
        <v>0</v>
      </c>
      <c r="N106" s="85">
        <f>0</f>
        <v>0</v>
      </c>
      <c r="O106" s="85">
        <f>0</f>
        <v>0</v>
      </c>
      <c r="P106" s="85">
        <f>0</f>
        <v>0</v>
      </c>
      <c r="Q106" s="85">
        <f>0</f>
        <v>0</v>
      </c>
      <c r="R106" s="85">
        <f>0</f>
        <v>0</v>
      </c>
      <c r="S106" s="85">
        <f>0</f>
        <v>0</v>
      </c>
      <c r="T106" s="85">
        <f>0</f>
        <v>0</v>
      </c>
      <c r="U106" s="85">
        <f>0</f>
        <v>0</v>
      </c>
      <c r="V106" s="85">
        <f>0</f>
        <v>0</v>
      </c>
    </row>
    <row r="107" spans="1:22" ht="24" hidden="1">
      <c r="A107" s="44" t="s">
        <v>246</v>
      </c>
      <c r="B107" s="45" t="s">
        <v>247</v>
      </c>
      <c r="C107" s="46">
        <f>0</f>
        <v>0</v>
      </c>
      <c r="D107" s="47">
        <f>0</f>
        <v>0</v>
      </c>
      <c r="E107" s="47">
        <f>0</f>
        <v>0</v>
      </c>
      <c r="F107" s="48">
        <f>0</f>
        <v>0</v>
      </c>
      <c r="G107" s="49">
        <f>0</f>
        <v>0</v>
      </c>
      <c r="H107" s="50">
        <f>0</f>
        <v>0</v>
      </c>
      <c r="I107" s="50">
        <f>0</f>
        <v>0</v>
      </c>
      <c r="J107" s="50">
        <f>0</f>
        <v>0</v>
      </c>
      <c r="K107" s="50">
        <f>0</f>
        <v>0</v>
      </c>
      <c r="L107" s="50">
        <f>0</f>
        <v>0</v>
      </c>
      <c r="M107" s="50">
        <f>0</f>
        <v>0</v>
      </c>
      <c r="N107" s="50">
        <f>0</f>
        <v>0</v>
      </c>
      <c r="O107" s="50">
        <f>0</f>
        <v>0</v>
      </c>
      <c r="P107" s="50">
        <f>0</f>
        <v>0</v>
      </c>
      <c r="Q107" s="50">
        <f>0</f>
        <v>0</v>
      </c>
      <c r="R107" s="50">
        <f>0</f>
        <v>0</v>
      </c>
      <c r="S107" s="50">
        <f>0</f>
        <v>0</v>
      </c>
      <c r="T107" s="50">
        <f>0</f>
        <v>0</v>
      </c>
      <c r="U107" s="50">
        <f>0</f>
        <v>0</v>
      </c>
      <c r="V107" s="50">
        <f>0</f>
        <v>0</v>
      </c>
    </row>
    <row r="108" spans="1:22" ht="60" hidden="1">
      <c r="A108" s="86" t="s">
        <v>248</v>
      </c>
      <c r="B108" s="87" t="s">
        <v>249</v>
      </c>
      <c r="C108" s="88">
        <f>0</f>
        <v>0</v>
      </c>
      <c r="D108" s="89">
        <f>0</f>
        <v>0</v>
      </c>
      <c r="E108" s="89">
        <f>0</f>
        <v>0</v>
      </c>
      <c r="F108" s="90">
        <f>0</f>
        <v>0</v>
      </c>
      <c r="G108" s="91">
        <f>0</f>
        <v>0</v>
      </c>
      <c r="H108" s="92">
        <f>0</f>
        <v>0</v>
      </c>
      <c r="I108" s="92">
        <f>0</f>
        <v>0</v>
      </c>
      <c r="J108" s="92">
        <f>0</f>
        <v>0</v>
      </c>
      <c r="K108" s="92">
        <f>0</f>
        <v>0</v>
      </c>
      <c r="L108" s="92">
        <f>0</f>
        <v>0</v>
      </c>
      <c r="M108" s="92">
        <f>0</f>
        <v>0</v>
      </c>
      <c r="N108" s="92">
        <f>0</f>
        <v>0</v>
      </c>
      <c r="O108" s="92">
        <f>0</f>
        <v>0</v>
      </c>
      <c r="P108" s="92">
        <f>0</f>
        <v>0</v>
      </c>
      <c r="Q108" s="92">
        <f>0</f>
        <v>0</v>
      </c>
      <c r="R108" s="92">
        <f>0</f>
        <v>0</v>
      </c>
      <c r="S108" s="92">
        <f>0</f>
        <v>0</v>
      </c>
      <c r="T108" s="92">
        <f>0</f>
        <v>0</v>
      </c>
      <c r="U108" s="92">
        <f>0</f>
        <v>0</v>
      </c>
      <c r="V108" s="92">
        <f>0</f>
        <v>0</v>
      </c>
    </row>
    <row r="109" spans="1:22" ht="60" hidden="1">
      <c r="A109" s="93">
        <v>16</v>
      </c>
      <c r="B109" s="94" t="s">
        <v>250</v>
      </c>
      <c r="C109" s="74" t="s">
        <v>132</v>
      </c>
      <c r="D109" s="75" t="s">
        <v>132</v>
      </c>
      <c r="E109" s="75" t="s">
        <v>132</v>
      </c>
      <c r="F109" s="76" t="s">
        <v>132</v>
      </c>
      <c r="G109" s="77" t="s">
        <v>132</v>
      </c>
      <c r="H109" s="77" t="s">
        <v>132</v>
      </c>
      <c r="I109" s="77" t="s">
        <v>132</v>
      </c>
      <c r="J109" s="77" t="s">
        <v>132</v>
      </c>
      <c r="K109" s="77" t="s">
        <v>132</v>
      </c>
      <c r="L109" s="77" t="s">
        <v>132</v>
      </c>
      <c r="M109" s="77" t="s">
        <v>132</v>
      </c>
      <c r="N109" s="77" t="s">
        <v>132</v>
      </c>
      <c r="O109" s="77" t="s">
        <v>132</v>
      </c>
      <c r="P109" s="77" t="s">
        <v>132</v>
      </c>
      <c r="Q109" s="77" t="s">
        <v>132</v>
      </c>
      <c r="R109" s="77" t="s">
        <v>132</v>
      </c>
      <c r="S109" s="77" t="s">
        <v>132</v>
      </c>
      <c r="T109" s="77" t="s">
        <v>132</v>
      </c>
      <c r="U109" s="77" t="s">
        <v>132</v>
      </c>
      <c r="V109" s="77" t="s">
        <v>132</v>
      </c>
    </row>
    <row r="110" spans="1:22" ht="48" hidden="1">
      <c r="A110" s="95" t="s">
        <v>251</v>
      </c>
      <c r="B110" s="96" t="s">
        <v>252</v>
      </c>
      <c r="C110" s="97" t="s">
        <v>132</v>
      </c>
      <c r="D110" s="98" t="s">
        <v>132</v>
      </c>
      <c r="E110" s="98" t="s">
        <v>132</v>
      </c>
      <c r="F110" s="99" t="s">
        <v>132</v>
      </c>
      <c r="G110" s="84" t="str">
        <f>+IF(G46&lt;0,G46,"")</f>
        <v/>
      </c>
      <c r="H110" s="84" t="str">
        <f t="shared" ref="H110:V110" si="15">+IF(H46&lt;0,H46,"")</f>
        <v/>
      </c>
      <c r="I110" s="84" t="str">
        <f t="shared" si="15"/>
        <v/>
      </c>
      <c r="J110" s="84" t="str">
        <f t="shared" si="15"/>
        <v/>
      </c>
      <c r="K110" s="84" t="str">
        <f t="shared" si="15"/>
        <v/>
      </c>
      <c r="L110" s="84" t="str">
        <f t="shared" si="15"/>
        <v/>
      </c>
      <c r="M110" s="84" t="str">
        <f t="shared" si="15"/>
        <v/>
      </c>
      <c r="N110" s="84" t="str">
        <f t="shared" si="15"/>
        <v/>
      </c>
      <c r="O110" s="84" t="str">
        <f t="shared" si="15"/>
        <v/>
      </c>
      <c r="P110" s="84" t="str">
        <f t="shared" si="15"/>
        <v/>
      </c>
      <c r="Q110" s="84" t="str">
        <f t="shared" si="15"/>
        <v/>
      </c>
      <c r="R110" s="84" t="str">
        <f t="shared" si="15"/>
        <v/>
      </c>
      <c r="S110" s="84" t="str">
        <f t="shared" si="15"/>
        <v/>
      </c>
      <c r="T110" s="84" t="str">
        <f t="shared" si="15"/>
        <v/>
      </c>
      <c r="U110" s="84" t="str">
        <f t="shared" si="15"/>
        <v/>
      </c>
      <c r="V110" s="84" t="str">
        <f t="shared" si="15"/>
        <v/>
      </c>
    </row>
    <row r="111" spans="1:22" ht="36" hidden="1">
      <c r="A111" s="100" t="s">
        <v>253</v>
      </c>
      <c r="B111" s="101" t="s">
        <v>254</v>
      </c>
      <c r="C111" s="102" t="s">
        <v>132</v>
      </c>
      <c r="D111" s="103" t="s">
        <v>132</v>
      </c>
      <c r="E111" s="103" t="s">
        <v>132</v>
      </c>
      <c r="F111" s="104" t="s">
        <v>132</v>
      </c>
      <c r="G111" s="105" t="str">
        <f>IF(G51&lt;=G53,"",G53- G51)</f>
        <v/>
      </c>
      <c r="H111" s="105" t="str">
        <f t="shared" ref="H111:V111" si="16">IF(H51&lt;=H53,"",H53- H51)</f>
        <v/>
      </c>
      <c r="I111" s="105" t="str">
        <f t="shared" si="16"/>
        <v/>
      </c>
      <c r="J111" s="105" t="str">
        <f t="shared" si="16"/>
        <v/>
      </c>
      <c r="K111" s="105" t="str">
        <f t="shared" si="16"/>
        <v/>
      </c>
      <c r="L111" s="105" t="str">
        <f t="shared" si="16"/>
        <v/>
      </c>
      <c r="M111" s="105" t="str">
        <f t="shared" si="16"/>
        <v/>
      </c>
      <c r="N111" s="105" t="str">
        <f t="shared" si="16"/>
        <v/>
      </c>
      <c r="O111" s="105" t="str">
        <f t="shared" si="16"/>
        <v/>
      </c>
      <c r="P111" s="105" t="str">
        <f t="shared" si="16"/>
        <v/>
      </c>
      <c r="Q111" s="105" t="str">
        <f t="shared" si="16"/>
        <v/>
      </c>
      <c r="R111" s="105" t="str">
        <f t="shared" si="16"/>
        <v/>
      </c>
      <c r="S111" s="105" t="str">
        <f t="shared" si="16"/>
        <v/>
      </c>
      <c r="T111" s="105" t="str">
        <f t="shared" si="16"/>
        <v/>
      </c>
      <c r="U111" s="105" t="str">
        <f t="shared" si="16"/>
        <v/>
      </c>
      <c r="V111" s="105" t="str">
        <f t="shared" si="16"/>
        <v/>
      </c>
    </row>
    <row r="112" spans="1:22" ht="36" hidden="1">
      <c r="A112" s="106" t="s">
        <v>255</v>
      </c>
      <c r="B112" s="107" t="s">
        <v>256</v>
      </c>
      <c r="C112" s="108" t="s">
        <v>132</v>
      </c>
      <c r="D112" s="109" t="s">
        <v>132</v>
      </c>
      <c r="E112" s="109" t="s">
        <v>132</v>
      </c>
      <c r="F112" s="110" t="s">
        <v>132</v>
      </c>
      <c r="G112" s="111" t="str">
        <f>IF(G51&lt;=G54,"",G54-G51)</f>
        <v/>
      </c>
      <c r="H112" s="111" t="str">
        <f t="shared" ref="H112:V112" si="17">IF(H51&lt;=H54,"",H54-H51)</f>
        <v/>
      </c>
      <c r="I112" s="111" t="str">
        <f t="shared" si="17"/>
        <v/>
      </c>
      <c r="J112" s="111" t="str">
        <f t="shared" si="17"/>
        <v/>
      </c>
      <c r="K112" s="111" t="str">
        <f t="shared" si="17"/>
        <v/>
      </c>
      <c r="L112" s="111" t="str">
        <f t="shared" si="17"/>
        <v/>
      </c>
      <c r="M112" s="111" t="str">
        <f t="shared" si="17"/>
        <v/>
      </c>
      <c r="N112" s="111" t="str">
        <f t="shared" si="17"/>
        <v/>
      </c>
      <c r="O112" s="111" t="str">
        <f t="shared" si="17"/>
        <v/>
      </c>
      <c r="P112" s="111" t="str">
        <f t="shared" si="17"/>
        <v/>
      </c>
      <c r="Q112" s="111" t="str">
        <f t="shared" si="17"/>
        <v/>
      </c>
      <c r="R112" s="111" t="str">
        <f t="shared" si="17"/>
        <v/>
      </c>
      <c r="S112" s="111" t="str">
        <f t="shared" si="17"/>
        <v/>
      </c>
      <c r="T112" s="111" t="str">
        <f t="shared" si="17"/>
        <v/>
      </c>
      <c r="U112" s="111" t="str">
        <f t="shared" si="17"/>
        <v/>
      </c>
      <c r="V112" s="111" t="str">
        <f t="shared" si="17"/>
        <v/>
      </c>
    </row>
    <row r="113" spans="1:22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</row>
  </sheetData>
  <sheetProtection algorithmName="SHA-512" hashValue="2/1WhnX5Sqr4/MVe8TPbq4MLvpWVgAUK6FA8ERWy0WE4gQGOVxjO/dqO7LumVDRJ54EOwCbZGfdiSgEjus6jzw==" saltValue="iGcPkLriVnlmuA26aTJwYA==" spinCount="100000" sheet="1" objects="1" scenarios="1" formatColumns="0" formatRows="0" autoFilter="0"/>
  <mergeCells count="2">
    <mergeCell ref="C2:D2"/>
    <mergeCell ref="A1:V1"/>
  </mergeCells>
  <conditionalFormatting sqref="G55:V56">
    <cfRule type="expression" dxfId="0" priority="12" stopIfTrue="1">
      <formula>LEFT(G55,3)="Nie"</formula>
    </cfRule>
  </conditionalFormatting>
  <pageMargins left="0.15748031496062992" right="0.15748031496062992" top="1.3779527559055118" bottom="1.1811023622047245" header="0.9055118110236221" footer="0.43307086614173229"/>
  <pageSetup paperSize="9" scale="53" orientation="landscape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0" zoomScaleNormal="110" workbookViewId="0">
      <pane ySplit="4" topLeftCell="A5" activePane="bottomLeft" state="frozen"/>
      <selection pane="bottomLeft" activeCell="C36" sqref="C36"/>
    </sheetView>
  </sheetViews>
  <sheetFormatPr defaultRowHeight="12.75"/>
  <cols>
    <col min="1" max="1" width="7.28515625" style="2" customWidth="1"/>
    <col min="2" max="2" width="51.5703125" style="1" customWidth="1"/>
    <col min="3" max="3" width="23.42578125" style="2" customWidth="1"/>
    <col min="4" max="5" width="7" style="2" customWidth="1"/>
    <col min="6" max="6" width="12.42578125" style="1" customWidth="1"/>
    <col min="7" max="10" width="11.42578125" style="1" customWidth="1"/>
    <col min="11" max="11" width="12.85546875" style="1" customWidth="1"/>
    <col min="12" max="240" width="9.140625" style="1"/>
    <col min="241" max="241" width="1" style="1" customWidth="1"/>
    <col min="242" max="242" width="39.140625" style="1" customWidth="1"/>
    <col min="243" max="243" width="21.42578125" style="1" customWidth="1"/>
    <col min="244" max="244" width="11.28515625" style="1" customWidth="1"/>
    <col min="245" max="245" width="9.5703125" style="1" customWidth="1"/>
    <col min="246" max="246" width="13.5703125" style="1" customWidth="1"/>
    <col min="247" max="256" width="12.140625" style="1" customWidth="1"/>
    <col min="257" max="266" width="0" style="1" hidden="1" customWidth="1"/>
    <col min="267" max="267" width="14.140625" style="1" customWidth="1"/>
    <col min="268" max="496" width="9.140625" style="1"/>
    <col min="497" max="497" width="1" style="1" customWidth="1"/>
    <col min="498" max="498" width="39.140625" style="1" customWidth="1"/>
    <col min="499" max="499" width="21.42578125" style="1" customWidth="1"/>
    <col min="500" max="500" width="11.28515625" style="1" customWidth="1"/>
    <col min="501" max="501" width="9.5703125" style="1" customWidth="1"/>
    <col min="502" max="502" width="13.5703125" style="1" customWidth="1"/>
    <col min="503" max="512" width="12.140625" style="1" customWidth="1"/>
    <col min="513" max="522" width="0" style="1" hidden="1" customWidth="1"/>
    <col min="523" max="523" width="14.140625" style="1" customWidth="1"/>
    <col min="524" max="752" width="9.140625" style="1"/>
    <col min="753" max="753" width="1" style="1" customWidth="1"/>
    <col min="754" max="754" width="39.140625" style="1" customWidth="1"/>
    <col min="755" max="755" width="21.42578125" style="1" customWidth="1"/>
    <col min="756" max="756" width="11.28515625" style="1" customWidth="1"/>
    <col min="757" max="757" width="9.5703125" style="1" customWidth="1"/>
    <col min="758" max="758" width="13.5703125" style="1" customWidth="1"/>
    <col min="759" max="768" width="12.140625" style="1" customWidth="1"/>
    <col min="769" max="778" width="0" style="1" hidden="1" customWidth="1"/>
    <col min="779" max="779" width="14.140625" style="1" customWidth="1"/>
    <col min="780" max="1008" width="9.140625" style="1"/>
    <col min="1009" max="1009" width="1" style="1" customWidth="1"/>
    <col min="1010" max="1010" width="39.140625" style="1" customWidth="1"/>
    <col min="1011" max="1011" width="21.42578125" style="1" customWidth="1"/>
    <col min="1012" max="1012" width="11.28515625" style="1" customWidth="1"/>
    <col min="1013" max="1013" width="9.5703125" style="1" customWidth="1"/>
    <col min="1014" max="1014" width="13.5703125" style="1" customWidth="1"/>
    <col min="1015" max="1024" width="12.140625" style="1" customWidth="1"/>
    <col min="1025" max="1034" width="0" style="1" hidden="1" customWidth="1"/>
    <col min="1035" max="1035" width="14.140625" style="1" customWidth="1"/>
    <col min="1036" max="1264" width="9.140625" style="1"/>
    <col min="1265" max="1265" width="1" style="1" customWidth="1"/>
    <col min="1266" max="1266" width="39.140625" style="1" customWidth="1"/>
    <col min="1267" max="1267" width="21.42578125" style="1" customWidth="1"/>
    <col min="1268" max="1268" width="11.28515625" style="1" customWidth="1"/>
    <col min="1269" max="1269" width="9.5703125" style="1" customWidth="1"/>
    <col min="1270" max="1270" width="13.5703125" style="1" customWidth="1"/>
    <col min="1271" max="1280" width="12.140625" style="1" customWidth="1"/>
    <col min="1281" max="1290" width="0" style="1" hidden="1" customWidth="1"/>
    <col min="1291" max="1291" width="14.140625" style="1" customWidth="1"/>
    <col min="1292" max="1520" width="9.140625" style="1"/>
    <col min="1521" max="1521" width="1" style="1" customWidth="1"/>
    <col min="1522" max="1522" width="39.140625" style="1" customWidth="1"/>
    <col min="1523" max="1523" width="21.42578125" style="1" customWidth="1"/>
    <col min="1524" max="1524" width="11.28515625" style="1" customWidth="1"/>
    <col min="1525" max="1525" width="9.5703125" style="1" customWidth="1"/>
    <col min="1526" max="1526" width="13.5703125" style="1" customWidth="1"/>
    <col min="1527" max="1536" width="12.140625" style="1" customWidth="1"/>
    <col min="1537" max="1546" width="0" style="1" hidden="1" customWidth="1"/>
    <col min="1547" max="1547" width="14.140625" style="1" customWidth="1"/>
    <col min="1548" max="1776" width="9.140625" style="1"/>
    <col min="1777" max="1777" width="1" style="1" customWidth="1"/>
    <col min="1778" max="1778" width="39.140625" style="1" customWidth="1"/>
    <col min="1779" max="1779" width="21.42578125" style="1" customWidth="1"/>
    <col min="1780" max="1780" width="11.28515625" style="1" customWidth="1"/>
    <col min="1781" max="1781" width="9.5703125" style="1" customWidth="1"/>
    <col min="1782" max="1782" width="13.5703125" style="1" customWidth="1"/>
    <col min="1783" max="1792" width="12.140625" style="1" customWidth="1"/>
    <col min="1793" max="1802" width="0" style="1" hidden="1" customWidth="1"/>
    <col min="1803" max="1803" width="14.140625" style="1" customWidth="1"/>
    <col min="1804" max="2032" width="9.140625" style="1"/>
    <col min="2033" max="2033" width="1" style="1" customWidth="1"/>
    <col min="2034" max="2034" width="39.140625" style="1" customWidth="1"/>
    <col min="2035" max="2035" width="21.42578125" style="1" customWidth="1"/>
    <col min="2036" max="2036" width="11.28515625" style="1" customWidth="1"/>
    <col min="2037" max="2037" width="9.5703125" style="1" customWidth="1"/>
    <col min="2038" max="2038" width="13.5703125" style="1" customWidth="1"/>
    <col min="2039" max="2048" width="12.140625" style="1" customWidth="1"/>
    <col min="2049" max="2058" width="0" style="1" hidden="1" customWidth="1"/>
    <col min="2059" max="2059" width="14.140625" style="1" customWidth="1"/>
    <col min="2060" max="2288" width="9.140625" style="1"/>
    <col min="2289" max="2289" width="1" style="1" customWidth="1"/>
    <col min="2290" max="2290" width="39.140625" style="1" customWidth="1"/>
    <col min="2291" max="2291" width="21.42578125" style="1" customWidth="1"/>
    <col min="2292" max="2292" width="11.28515625" style="1" customWidth="1"/>
    <col min="2293" max="2293" width="9.5703125" style="1" customWidth="1"/>
    <col min="2294" max="2294" width="13.5703125" style="1" customWidth="1"/>
    <col min="2295" max="2304" width="12.140625" style="1" customWidth="1"/>
    <col min="2305" max="2314" width="0" style="1" hidden="1" customWidth="1"/>
    <col min="2315" max="2315" width="14.140625" style="1" customWidth="1"/>
    <col min="2316" max="2544" width="9.140625" style="1"/>
    <col min="2545" max="2545" width="1" style="1" customWidth="1"/>
    <col min="2546" max="2546" width="39.140625" style="1" customWidth="1"/>
    <col min="2547" max="2547" width="21.42578125" style="1" customWidth="1"/>
    <col min="2548" max="2548" width="11.28515625" style="1" customWidth="1"/>
    <col min="2549" max="2549" width="9.5703125" style="1" customWidth="1"/>
    <col min="2550" max="2550" width="13.5703125" style="1" customWidth="1"/>
    <col min="2551" max="2560" width="12.140625" style="1" customWidth="1"/>
    <col min="2561" max="2570" width="0" style="1" hidden="1" customWidth="1"/>
    <col min="2571" max="2571" width="14.140625" style="1" customWidth="1"/>
    <col min="2572" max="2800" width="9.140625" style="1"/>
    <col min="2801" max="2801" width="1" style="1" customWidth="1"/>
    <col min="2802" max="2802" width="39.140625" style="1" customWidth="1"/>
    <col min="2803" max="2803" width="21.42578125" style="1" customWidth="1"/>
    <col min="2804" max="2804" width="11.28515625" style="1" customWidth="1"/>
    <col min="2805" max="2805" width="9.5703125" style="1" customWidth="1"/>
    <col min="2806" max="2806" width="13.5703125" style="1" customWidth="1"/>
    <col min="2807" max="2816" width="12.140625" style="1" customWidth="1"/>
    <col min="2817" max="2826" width="0" style="1" hidden="1" customWidth="1"/>
    <col min="2827" max="2827" width="14.140625" style="1" customWidth="1"/>
    <col min="2828" max="3056" width="9.140625" style="1"/>
    <col min="3057" max="3057" width="1" style="1" customWidth="1"/>
    <col min="3058" max="3058" width="39.140625" style="1" customWidth="1"/>
    <col min="3059" max="3059" width="21.42578125" style="1" customWidth="1"/>
    <col min="3060" max="3060" width="11.28515625" style="1" customWidth="1"/>
    <col min="3061" max="3061" width="9.5703125" style="1" customWidth="1"/>
    <col min="3062" max="3062" width="13.5703125" style="1" customWidth="1"/>
    <col min="3063" max="3072" width="12.140625" style="1" customWidth="1"/>
    <col min="3073" max="3082" width="0" style="1" hidden="1" customWidth="1"/>
    <col min="3083" max="3083" width="14.140625" style="1" customWidth="1"/>
    <col min="3084" max="3312" width="9.140625" style="1"/>
    <col min="3313" max="3313" width="1" style="1" customWidth="1"/>
    <col min="3314" max="3314" width="39.140625" style="1" customWidth="1"/>
    <col min="3315" max="3315" width="21.42578125" style="1" customWidth="1"/>
    <col min="3316" max="3316" width="11.28515625" style="1" customWidth="1"/>
    <col min="3317" max="3317" width="9.5703125" style="1" customWidth="1"/>
    <col min="3318" max="3318" width="13.5703125" style="1" customWidth="1"/>
    <col min="3319" max="3328" width="12.140625" style="1" customWidth="1"/>
    <col min="3329" max="3338" width="0" style="1" hidden="1" customWidth="1"/>
    <col min="3339" max="3339" width="14.140625" style="1" customWidth="1"/>
    <col min="3340" max="3568" width="9.140625" style="1"/>
    <col min="3569" max="3569" width="1" style="1" customWidth="1"/>
    <col min="3570" max="3570" width="39.140625" style="1" customWidth="1"/>
    <col min="3571" max="3571" width="21.42578125" style="1" customWidth="1"/>
    <col min="3572" max="3572" width="11.28515625" style="1" customWidth="1"/>
    <col min="3573" max="3573" width="9.5703125" style="1" customWidth="1"/>
    <col min="3574" max="3574" width="13.5703125" style="1" customWidth="1"/>
    <col min="3575" max="3584" width="12.140625" style="1" customWidth="1"/>
    <col min="3585" max="3594" width="0" style="1" hidden="1" customWidth="1"/>
    <col min="3595" max="3595" width="14.140625" style="1" customWidth="1"/>
    <col min="3596" max="3824" width="9.140625" style="1"/>
    <col min="3825" max="3825" width="1" style="1" customWidth="1"/>
    <col min="3826" max="3826" width="39.140625" style="1" customWidth="1"/>
    <col min="3827" max="3827" width="21.42578125" style="1" customWidth="1"/>
    <col min="3828" max="3828" width="11.28515625" style="1" customWidth="1"/>
    <col min="3829" max="3829" width="9.5703125" style="1" customWidth="1"/>
    <col min="3830" max="3830" width="13.5703125" style="1" customWidth="1"/>
    <col min="3831" max="3840" width="12.140625" style="1" customWidth="1"/>
    <col min="3841" max="3850" width="0" style="1" hidden="1" customWidth="1"/>
    <col min="3851" max="3851" width="14.140625" style="1" customWidth="1"/>
    <col min="3852" max="4080" width="9.140625" style="1"/>
    <col min="4081" max="4081" width="1" style="1" customWidth="1"/>
    <col min="4082" max="4082" width="39.140625" style="1" customWidth="1"/>
    <col min="4083" max="4083" width="21.42578125" style="1" customWidth="1"/>
    <col min="4084" max="4084" width="11.28515625" style="1" customWidth="1"/>
    <col min="4085" max="4085" width="9.5703125" style="1" customWidth="1"/>
    <col min="4086" max="4086" width="13.5703125" style="1" customWidth="1"/>
    <col min="4087" max="4096" width="12.140625" style="1" customWidth="1"/>
    <col min="4097" max="4106" width="0" style="1" hidden="1" customWidth="1"/>
    <col min="4107" max="4107" width="14.140625" style="1" customWidth="1"/>
    <col min="4108" max="4336" width="9.140625" style="1"/>
    <col min="4337" max="4337" width="1" style="1" customWidth="1"/>
    <col min="4338" max="4338" width="39.140625" style="1" customWidth="1"/>
    <col min="4339" max="4339" width="21.42578125" style="1" customWidth="1"/>
    <col min="4340" max="4340" width="11.28515625" style="1" customWidth="1"/>
    <col min="4341" max="4341" width="9.5703125" style="1" customWidth="1"/>
    <col min="4342" max="4342" width="13.5703125" style="1" customWidth="1"/>
    <col min="4343" max="4352" width="12.140625" style="1" customWidth="1"/>
    <col min="4353" max="4362" width="0" style="1" hidden="1" customWidth="1"/>
    <col min="4363" max="4363" width="14.140625" style="1" customWidth="1"/>
    <col min="4364" max="4592" width="9.140625" style="1"/>
    <col min="4593" max="4593" width="1" style="1" customWidth="1"/>
    <col min="4594" max="4594" width="39.140625" style="1" customWidth="1"/>
    <col min="4595" max="4595" width="21.42578125" style="1" customWidth="1"/>
    <col min="4596" max="4596" width="11.28515625" style="1" customWidth="1"/>
    <col min="4597" max="4597" width="9.5703125" style="1" customWidth="1"/>
    <col min="4598" max="4598" width="13.5703125" style="1" customWidth="1"/>
    <col min="4599" max="4608" width="12.140625" style="1" customWidth="1"/>
    <col min="4609" max="4618" width="0" style="1" hidden="1" customWidth="1"/>
    <col min="4619" max="4619" width="14.140625" style="1" customWidth="1"/>
    <col min="4620" max="4848" width="9.140625" style="1"/>
    <col min="4849" max="4849" width="1" style="1" customWidth="1"/>
    <col min="4850" max="4850" width="39.140625" style="1" customWidth="1"/>
    <col min="4851" max="4851" width="21.42578125" style="1" customWidth="1"/>
    <col min="4852" max="4852" width="11.28515625" style="1" customWidth="1"/>
    <col min="4853" max="4853" width="9.5703125" style="1" customWidth="1"/>
    <col min="4854" max="4854" width="13.5703125" style="1" customWidth="1"/>
    <col min="4855" max="4864" width="12.140625" style="1" customWidth="1"/>
    <col min="4865" max="4874" width="0" style="1" hidden="1" customWidth="1"/>
    <col min="4875" max="4875" width="14.140625" style="1" customWidth="1"/>
    <col min="4876" max="5104" width="9.140625" style="1"/>
    <col min="5105" max="5105" width="1" style="1" customWidth="1"/>
    <col min="5106" max="5106" width="39.140625" style="1" customWidth="1"/>
    <col min="5107" max="5107" width="21.42578125" style="1" customWidth="1"/>
    <col min="5108" max="5108" width="11.28515625" style="1" customWidth="1"/>
    <col min="5109" max="5109" width="9.5703125" style="1" customWidth="1"/>
    <col min="5110" max="5110" width="13.5703125" style="1" customWidth="1"/>
    <col min="5111" max="5120" width="12.140625" style="1" customWidth="1"/>
    <col min="5121" max="5130" width="0" style="1" hidden="1" customWidth="1"/>
    <col min="5131" max="5131" width="14.140625" style="1" customWidth="1"/>
    <col min="5132" max="5360" width="9.140625" style="1"/>
    <col min="5361" max="5361" width="1" style="1" customWidth="1"/>
    <col min="5362" max="5362" width="39.140625" style="1" customWidth="1"/>
    <col min="5363" max="5363" width="21.42578125" style="1" customWidth="1"/>
    <col min="5364" max="5364" width="11.28515625" style="1" customWidth="1"/>
    <col min="5365" max="5365" width="9.5703125" style="1" customWidth="1"/>
    <col min="5366" max="5366" width="13.5703125" style="1" customWidth="1"/>
    <col min="5367" max="5376" width="12.140625" style="1" customWidth="1"/>
    <col min="5377" max="5386" width="0" style="1" hidden="1" customWidth="1"/>
    <col min="5387" max="5387" width="14.140625" style="1" customWidth="1"/>
    <col min="5388" max="5616" width="9.140625" style="1"/>
    <col min="5617" max="5617" width="1" style="1" customWidth="1"/>
    <col min="5618" max="5618" width="39.140625" style="1" customWidth="1"/>
    <col min="5619" max="5619" width="21.42578125" style="1" customWidth="1"/>
    <col min="5620" max="5620" width="11.28515625" style="1" customWidth="1"/>
    <col min="5621" max="5621" width="9.5703125" style="1" customWidth="1"/>
    <col min="5622" max="5622" width="13.5703125" style="1" customWidth="1"/>
    <col min="5623" max="5632" width="12.140625" style="1" customWidth="1"/>
    <col min="5633" max="5642" width="0" style="1" hidden="1" customWidth="1"/>
    <col min="5643" max="5643" width="14.140625" style="1" customWidth="1"/>
    <col min="5644" max="5872" width="9.140625" style="1"/>
    <col min="5873" max="5873" width="1" style="1" customWidth="1"/>
    <col min="5874" max="5874" width="39.140625" style="1" customWidth="1"/>
    <col min="5875" max="5875" width="21.42578125" style="1" customWidth="1"/>
    <col min="5876" max="5876" width="11.28515625" style="1" customWidth="1"/>
    <col min="5877" max="5877" width="9.5703125" style="1" customWidth="1"/>
    <col min="5878" max="5878" width="13.5703125" style="1" customWidth="1"/>
    <col min="5879" max="5888" width="12.140625" style="1" customWidth="1"/>
    <col min="5889" max="5898" width="0" style="1" hidden="1" customWidth="1"/>
    <col min="5899" max="5899" width="14.140625" style="1" customWidth="1"/>
    <col min="5900" max="6128" width="9.140625" style="1"/>
    <col min="6129" max="6129" width="1" style="1" customWidth="1"/>
    <col min="6130" max="6130" width="39.140625" style="1" customWidth="1"/>
    <col min="6131" max="6131" width="21.42578125" style="1" customWidth="1"/>
    <col min="6132" max="6132" width="11.28515625" style="1" customWidth="1"/>
    <col min="6133" max="6133" width="9.5703125" style="1" customWidth="1"/>
    <col min="6134" max="6134" width="13.5703125" style="1" customWidth="1"/>
    <col min="6135" max="6144" width="12.140625" style="1" customWidth="1"/>
    <col min="6145" max="6154" width="0" style="1" hidden="1" customWidth="1"/>
    <col min="6155" max="6155" width="14.140625" style="1" customWidth="1"/>
    <col min="6156" max="6384" width="9.140625" style="1"/>
    <col min="6385" max="6385" width="1" style="1" customWidth="1"/>
    <col min="6386" max="6386" width="39.140625" style="1" customWidth="1"/>
    <col min="6387" max="6387" width="21.42578125" style="1" customWidth="1"/>
    <col min="6388" max="6388" width="11.28515625" style="1" customWidth="1"/>
    <col min="6389" max="6389" width="9.5703125" style="1" customWidth="1"/>
    <col min="6390" max="6390" width="13.5703125" style="1" customWidth="1"/>
    <col min="6391" max="6400" width="12.140625" style="1" customWidth="1"/>
    <col min="6401" max="6410" width="0" style="1" hidden="1" customWidth="1"/>
    <col min="6411" max="6411" width="14.140625" style="1" customWidth="1"/>
    <col min="6412" max="6640" width="9.140625" style="1"/>
    <col min="6641" max="6641" width="1" style="1" customWidth="1"/>
    <col min="6642" max="6642" width="39.140625" style="1" customWidth="1"/>
    <col min="6643" max="6643" width="21.42578125" style="1" customWidth="1"/>
    <col min="6644" max="6644" width="11.28515625" style="1" customWidth="1"/>
    <col min="6645" max="6645" width="9.5703125" style="1" customWidth="1"/>
    <col min="6646" max="6646" width="13.5703125" style="1" customWidth="1"/>
    <col min="6647" max="6656" width="12.140625" style="1" customWidth="1"/>
    <col min="6657" max="6666" width="0" style="1" hidden="1" customWidth="1"/>
    <col min="6667" max="6667" width="14.140625" style="1" customWidth="1"/>
    <col min="6668" max="6896" width="9.140625" style="1"/>
    <col min="6897" max="6897" width="1" style="1" customWidth="1"/>
    <col min="6898" max="6898" width="39.140625" style="1" customWidth="1"/>
    <col min="6899" max="6899" width="21.42578125" style="1" customWidth="1"/>
    <col min="6900" max="6900" width="11.28515625" style="1" customWidth="1"/>
    <col min="6901" max="6901" width="9.5703125" style="1" customWidth="1"/>
    <col min="6902" max="6902" width="13.5703125" style="1" customWidth="1"/>
    <col min="6903" max="6912" width="12.140625" style="1" customWidth="1"/>
    <col min="6913" max="6922" width="0" style="1" hidden="1" customWidth="1"/>
    <col min="6923" max="6923" width="14.140625" style="1" customWidth="1"/>
    <col min="6924" max="7152" width="9.140625" style="1"/>
    <col min="7153" max="7153" width="1" style="1" customWidth="1"/>
    <col min="7154" max="7154" width="39.140625" style="1" customWidth="1"/>
    <col min="7155" max="7155" width="21.42578125" style="1" customWidth="1"/>
    <col min="7156" max="7156" width="11.28515625" style="1" customWidth="1"/>
    <col min="7157" max="7157" width="9.5703125" style="1" customWidth="1"/>
    <col min="7158" max="7158" width="13.5703125" style="1" customWidth="1"/>
    <col min="7159" max="7168" width="12.140625" style="1" customWidth="1"/>
    <col min="7169" max="7178" width="0" style="1" hidden="1" customWidth="1"/>
    <col min="7179" max="7179" width="14.140625" style="1" customWidth="1"/>
    <col min="7180" max="7408" width="9.140625" style="1"/>
    <col min="7409" max="7409" width="1" style="1" customWidth="1"/>
    <col min="7410" max="7410" width="39.140625" style="1" customWidth="1"/>
    <col min="7411" max="7411" width="21.42578125" style="1" customWidth="1"/>
    <col min="7412" max="7412" width="11.28515625" style="1" customWidth="1"/>
    <col min="7413" max="7413" width="9.5703125" style="1" customWidth="1"/>
    <col min="7414" max="7414" width="13.5703125" style="1" customWidth="1"/>
    <col min="7415" max="7424" width="12.140625" style="1" customWidth="1"/>
    <col min="7425" max="7434" width="0" style="1" hidden="1" customWidth="1"/>
    <col min="7435" max="7435" width="14.140625" style="1" customWidth="1"/>
    <col min="7436" max="7664" width="9.140625" style="1"/>
    <col min="7665" max="7665" width="1" style="1" customWidth="1"/>
    <col min="7666" max="7666" width="39.140625" style="1" customWidth="1"/>
    <col min="7667" max="7667" width="21.42578125" style="1" customWidth="1"/>
    <col min="7668" max="7668" width="11.28515625" style="1" customWidth="1"/>
    <col min="7669" max="7669" width="9.5703125" style="1" customWidth="1"/>
    <col min="7670" max="7670" width="13.5703125" style="1" customWidth="1"/>
    <col min="7671" max="7680" width="12.140625" style="1" customWidth="1"/>
    <col min="7681" max="7690" width="0" style="1" hidden="1" customWidth="1"/>
    <col min="7691" max="7691" width="14.140625" style="1" customWidth="1"/>
    <col min="7692" max="7920" width="9.140625" style="1"/>
    <col min="7921" max="7921" width="1" style="1" customWidth="1"/>
    <col min="7922" max="7922" width="39.140625" style="1" customWidth="1"/>
    <col min="7923" max="7923" width="21.42578125" style="1" customWidth="1"/>
    <col min="7924" max="7924" width="11.28515625" style="1" customWidth="1"/>
    <col min="7925" max="7925" width="9.5703125" style="1" customWidth="1"/>
    <col min="7926" max="7926" width="13.5703125" style="1" customWidth="1"/>
    <col min="7927" max="7936" width="12.140625" style="1" customWidth="1"/>
    <col min="7937" max="7946" width="0" style="1" hidden="1" customWidth="1"/>
    <col min="7947" max="7947" width="14.140625" style="1" customWidth="1"/>
    <col min="7948" max="8176" width="9.140625" style="1"/>
    <col min="8177" max="8177" width="1" style="1" customWidth="1"/>
    <col min="8178" max="8178" width="39.140625" style="1" customWidth="1"/>
    <col min="8179" max="8179" width="21.42578125" style="1" customWidth="1"/>
    <col min="8180" max="8180" width="11.28515625" style="1" customWidth="1"/>
    <col min="8181" max="8181" width="9.5703125" style="1" customWidth="1"/>
    <col min="8182" max="8182" width="13.5703125" style="1" customWidth="1"/>
    <col min="8183" max="8192" width="12.140625" style="1" customWidth="1"/>
    <col min="8193" max="8202" width="0" style="1" hidden="1" customWidth="1"/>
    <col min="8203" max="8203" width="14.140625" style="1" customWidth="1"/>
    <col min="8204" max="8432" width="9.140625" style="1"/>
    <col min="8433" max="8433" width="1" style="1" customWidth="1"/>
    <col min="8434" max="8434" width="39.140625" style="1" customWidth="1"/>
    <col min="8435" max="8435" width="21.42578125" style="1" customWidth="1"/>
    <col min="8436" max="8436" width="11.28515625" style="1" customWidth="1"/>
    <col min="8437" max="8437" width="9.5703125" style="1" customWidth="1"/>
    <col min="8438" max="8438" width="13.5703125" style="1" customWidth="1"/>
    <col min="8439" max="8448" width="12.140625" style="1" customWidth="1"/>
    <col min="8449" max="8458" width="0" style="1" hidden="1" customWidth="1"/>
    <col min="8459" max="8459" width="14.140625" style="1" customWidth="1"/>
    <col min="8460" max="8688" width="9.140625" style="1"/>
    <col min="8689" max="8689" width="1" style="1" customWidth="1"/>
    <col min="8690" max="8690" width="39.140625" style="1" customWidth="1"/>
    <col min="8691" max="8691" width="21.42578125" style="1" customWidth="1"/>
    <col min="8692" max="8692" width="11.28515625" style="1" customWidth="1"/>
    <col min="8693" max="8693" width="9.5703125" style="1" customWidth="1"/>
    <col min="8694" max="8694" width="13.5703125" style="1" customWidth="1"/>
    <col min="8695" max="8704" width="12.140625" style="1" customWidth="1"/>
    <col min="8705" max="8714" width="0" style="1" hidden="1" customWidth="1"/>
    <col min="8715" max="8715" width="14.140625" style="1" customWidth="1"/>
    <col min="8716" max="8944" width="9.140625" style="1"/>
    <col min="8945" max="8945" width="1" style="1" customWidth="1"/>
    <col min="8946" max="8946" width="39.140625" style="1" customWidth="1"/>
    <col min="8947" max="8947" width="21.42578125" style="1" customWidth="1"/>
    <col min="8948" max="8948" width="11.28515625" style="1" customWidth="1"/>
    <col min="8949" max="8949" width="9.5703125" style="1" customWidth="1"/>
    <col min="8950" max="8950" width="13.5703125" style="1" customWidth="1"/>
    <col min="8951" max="8960" width="12.140625" style="1" customWidth="1"/>
    <col min="8961" max="8970" width="0" style="1" hidden="1" customWidth="1"/>
    <col min="8971" max="8971" width="14.140625" style="1" customWidth="1"/>
    <col min="8972" max="9200" width="9.140625" style="1"/>
    <col min="9201" max="9201" width="1" style="1" customWidth="1"/>
    <col min="9202" max="9202" width="39.140625" style="1" customWidth="1"/>
    <col min="9203" max="9203" width="21.42578125" style="1" customWidth="1"/>
    <col min="9204" max="9204" width="11.28515625" style="1" customWidth="1"/>
    <col min="9205" max="9205" width="9.5703125" style="1" customWidth="1"/>
    <col min="9206" max="9206" width="13.5703125" style="1" customWidth="1"/>
    <col min="9207" max="9216" width="12.140625" style="1" customWidth="1"/>
    <col min="9217" max="9226" width="0" style="1" hidden="1" customWidth="1"/>
    <col min="9227" max="9227" width="14.140625" style="1" customWidth="1"/>
    <col min="9228" max="9456" width="9.140625" style="1"/>
    <col min="9457" max="9457" width="1" style="1" customWidth="1"/>
    <col min="9458" max="9458" width="39.140625" style="1" customWidth="1"/>
    <col min="9459" max="9459" width="21.42578125" style="1" customWidth="1"/>
    <col min="9460" max="9460" width="11.28515625" style="1" customWidth="1"/>
    <col min="9461" max="9461" width="9.5703125" style="1" customWidth="1"/>
    <col min="9462" max="9462" width="13.5703125" style="1" customWidth="1"/>
    <col min="9463" max="9472" width="12.140625" style="1" customWidth="1"/>
    <col min="9473" max="9482" width="0" style="1" hidden="1" customWidth="1"/>
    <col min="9483" max="9483" width="14.140625" style="1" customWidth="1"/>
    <col min="9484" max="9712" width="9.140625" style="1"/>
    <col min="9713" max="9713" width="1" style="1" customWidth="1"/>
    <col min="9714" max="9714" width="39.140625" style="1" customWidth="1"/>
    <col min="9715" max="9715" width="21.42578125" style="1" customWidth="1"/>
    <col min="9716" max="9716" width="11.28515625" style="1" customWidth="1"/>
    <col min="9717" max="9717" width="9.5703125" style="1" customWidth="1"/>
    <col min="9718" max="9718" width="13.5703125" style="1" customWidth="1"/>
    <col min="9719" max="9728" width="12.140625" style="1" customWidth="1"/>
    <col min="9729" max="9738" width="0" style="1" hidden="1" customWidth="1"/>
    <col min="9739" max="9739" width="14.140625" style="1" customWidth="1"/>
    <col min="9740" max="9968" width="9.140625" style="1"/>
    <col min="9969" max="9969" width="1" style="1" customWidth="1"/>
    <col min="9970" max="9970" width="39.140625" style="1" customWidth="1"/>
    <col min="9971" max="9971" width="21.42578125" style="1" customWidth="1"/>
    <col min="9972" max="9972" width="11.28515625" style="1" customWidth="1"/>
    <col min="9973" max="9973" width="9.5703125" style="1" customWidth="1"/>
    <col min="9974" max="9974" width="13.5703125" style="1" customWidth="1"/>
    <col min="9975" max="9984" width="12.140625" style="1" customWidth="1"/>
    <col min="9985" max="9994" width="0" style="1" hidden="1" customWidth="1"/>
    <col min="9995" max="9995" width="14.140625" style="1" customWidth="1"/>
    <col min="9996" max="10224" width="9.140625" style="1"/>
    <col min="10225" max="10225" width="1" style="1" customWidth="1"/>
    <col min="10226" max="10226" width="39.140625" style="1" customWidth="1"/>
    <col min="10227" max="10227" width="21.42578125" style="1" customWidth="1"/>
    <col min="10228" max="10228" width="11.28515625" style="1" customWidth="1"/>
    <col min="10229" max="10229" width="9.5703125" style="1" customWidth="1"/>
    <col min="10230" max="10230" width="13.5703125" style="1" customWidth="1"/>
    <col min="10231" max="10240" width="12.140625" style="1" customWidth="1"/>
    <col min="10241" max="10250" width="0" style="1" hidden="1" customWidth="1"/>
    <col min="10251" max="10251" width="14.140625" style="1" customWidth="1"/>
    <col min="10252" max="10480" width="9.140625" style="1"/>
    <col min="10481" max="10481" width="1" style="1" customWidth="1"/>
    <col min="10482" max="10482" width="39.140625" style="1" customWidth="1"/>
    <col min="10483" max="10483" width="21.42578125" style="1" customWidth="1"/>
    <col min="10484" max="10484" width="11.28515625" style="1" customWidth="1"/>
    <col min="10485" max="10485" width="9.5703125" style="1" customWidth="1"/>
    <col min="10486" max="10486" width="13.5703125" style="1" customWidth="1"/>
    <col min="10487" max="10496" width="12.140625" style="1" customWidth="1"/>
    <col min="10497" max="10506" width="0" style="1" hidden="1" customWidth="1"/>
    <col min="10507" max="10507" width="14.140625" style="1" customWidth="1"/>
    <col min="10508" max="10736" width="9.140625" style="1"/>
    <col min="10737" max="10737" width="1" style="1" customWidth="1"/>
    <col min="10738" max="10738" width="39.140625" style="1" customWidth="1"/>
    <col min="10739" max="10739" width="21.42578125" style="1" customWidth="1"/>
    <col min="10740" max="10740" width="11.28515625" style="1" customWidth="1"/>
    <col min="10741" max="10741" width="9.5703125" style="1" customWidth="1"/>
    <col min="10742" max="10742" width="13.5703125" style="1" customWidth="1"/>
    <col min="10743" max="10752" width="12.140625" style="1" customWidth="1"/>
    <col min="10753" max="10762" width="0" style="1" hidden="1" customWidth="1"/>
    <col min="10763" max="10763" width="14.140625" style="1" customWidth="1"/>
    <col min="10764" max="10992" width="9.140625" style="1"/>
    <col min="10993" max="10993" width="1" style="1" customWidth="1"/>
    <col min="10994" max="10994" width="39.140625" style="1" customWidth="1"/>
    <col min="10995" max="10995" width="21.42578125" style="1" customWidth="1"/>
    <col min="10996" max="10996" width="11.28515625" style="1" customWidth="1"/>
    <col min="10997" max="10997" width="9.5703125" style="1" customWidth="1"/>
    <col min="10998" max="10998" width="13.5703125" style="1" customWidth="1"/>
    <col min="10999" max="11008" width="12.140625" style="1" customWidth="1"/>
    <col min="11009" max="11018" width="0" style="1" hidden="1" customWidth="1"/>
    <col min="11019" max="11019" width="14.140625" style="1" customWidth="1"/>
    <col min="11020" max="11248" width="9.140625" style="1"/>
    <col min="11249" max="11249" width="1" style="1" customWidth="1"/>
    <col min="11250" max="11250" width="39.140625" style="1" customWidth="1"/>
    <col min="11251" max="11251" width="21.42578125" style="1" customWidth="1"/>
    <col min="11252" max="11252" width="11.28515625" style="1" customWidth="1"/>
    <col min="11253" max="11253" width="9.5703125" style="1" customWidth="1"/>
    <col min="11254" max="11254" width="13.5703125" style="1" customWidth="1"/>
    <col min="11255" max="11264" width="12.140625" style="1" customWidth="1"/>
    <col min="11265" max="11274" width="0" style="1" hidden="1" customWidth="1"/>
    <col min="11275" max="11275" width="14.140625" style="1" customWidth="1"/>
    <col min="11276" max="11504" width="9.140625" style="1"/>
    <col min="11505" max="11505" width="1" style="1" customWidth="1"/>
    <col min="11506" max="11506" width="39.140625" style="1" customWidth="1"/>
    <col min="11507" max="11507" width="21.42578125" style="1" customWidth="1"/>
    <col min="11508" max="11508" width="11.28515625" style="1" customWidth="1"/>
    <col min="11509" max="11509" width="9.5703125" style="1" customWidth="1"/>
    <col min="11510" max="11510" width="13.5703125" style="1" customWidth="1"/>
    <col min="11511" max="11520" width="12.140625" style="1" customWidth="1"/>
    <col min="11521" max="11530" width="0" style="1" hidden="1" customWidth="1"/>
    <col min="11531" max="11531" width="14.140625" style="1" customWidth="1"/>
    <col min="11532" max="11760" width="9.140625" style="1"/>
    <col min="11761" max="11761" width="1" style="1" customWidth="1"/>
    <col min="11762" max="11762" width="39.140625" style="1" customWidth="1"/>
    <col min="11763" max="11763" width="21.42578125" style="1" customWidth="1"/>
    <col min="11764" max="11764" width="11.28515625" style="1" customWidth="1"/>
    <col min="11765" max="11765" width="9.5703125" style="1" customWidth="1"/>
    <col min="11766" max="11766" width="13.5703125" style="1" customWidth="1"/>
    <col min="11767" max="11776" width="12.140625" style="1" customWidth="1"/>
    <col min="11777" max="11786" width="0" style="1" hidden="1" customWidth="1"/>
    <col min="11787" max="11787" width="14.140625" style="1" customWidth="1"/>
    <col min="11788" max="12016" width="9.140625" style="1"/>
    <col min="12017" max="12017" width="1" style="1" customWidth="1"/>
    <col min="12018" max="12018" width="39.140625" style="1" customWidth="1"/>
    <col min="12019" max="12019" width="21.42578125" style="1" customWidth="1"/>
    <col min="12020" max="12020" width="11.28515625" style="1" customWidth="1"/>
    <col min="12021" max="12021" width="9.5703125" style="1" customWidth="1"/>
    <col min="12022" max="12022" width="13.5703125" style="1" customWidth="1"/>
    <col min="12023" max="12032" width="12.140625" style="1" customWidth="1"/>
    <col min="12033" max="12042" width="0" style="1" hidden="1" customWidth="1"/>
    <col min="12043" max="12043" width="14.140625" style="1" customWidth="1"/>
    <col min="12044" max="12272" width="9.140625" style="1"/>
    <col min="12273" max="12273" width="1" style="1" customWidth="1"/>
    <col min="12274" max="12274" width="39.140625" style="1" customWidth="1"/>
    <col min="12275" max="12275" width="21.42578125" style="1" customWidth="1"/>
    <col min="12276" max="12276" width="11.28515625" style="1" customWidth="1"/>
    <col min="12277" max="12277" width="9.5703125" style="1" customWidth="1"/>
    <col min="12278" max="12278" width="13.5703125" style="1" customWidth="1"/>
    <col min="12279" max="12288" width="12.140625" style="1" customWidth="1"/>
    <col min="12289" max="12298" width="0" style="1" hidden="1" customWidth="1"/>
    <col min="12299" max="12299" width="14.140625" style="1" customWidth="1"/>
    <col min="12300" max="12528" width="9.140625" style="1"/>
    <col min="12529" max="12529" width="1" style="1" customWidth="1"/>
    <col min="12530" max="12530" width="39.140625" style="1" customWidth="1"/>
    <col min="12531" max="12531" width="21.42578125" style="1" customWidth="1"/>
    <col min="12532" max="12532" width="11.28515625" style="1" customWidth="1"/>
    <col min="12533" max="12533" width="9.5703125" style="1" customWidth="1"/>
    <col min="12534" max="12534" width="13.5703125" style="1" customWidth="1"/>
    <col min="12535" max="12544" width="12.140625" style="1" customWidth="1"/>
    <col min="12545" max="12554" width="0" style="1" hidden="1" customWidth="1"/>
    <col min="12555" max="12555" width="14.140625" style="1" customWidth="1"/>
    <col min="12556" max="12784" width="9.140625" style="1"/>
    <col min="12785" max="12785" width="1" style="1" customWidth="1"/>
    <col min="12786" max="12786" width="39.140625" style="1" customWidth="1"/>
    <col min="12787" max="12787" width="21.42578125" style="1" customWidth="1"/>
    <col min="12788" max="12788" width="11.28515625" style="1" customWidth="1"/>
    <col min="12789" max="12789" width="9.5703125" style="1" customWidth="1"/>
    <col min="12790" max="12790" width="13.5703125" style="1" customWidth="1"/>
    <col min="12791" max="12800" width="12.140625" style="1" customWidth="1"/>
    <col min="12801" max="12810" width="0" style="1" hidden="1" customWidth="1"/>
    <col min="12811" max="12811" width="14.140625" style="1" customWidth="1"/>
    <col min="12812" max="13040" width="9.140625" style="1"/>
    <col min="13041" max="13041" width="1" style="1" customWidth="1"/>
    <col min="13042" max="13042" width="39.140625" style="1" customWidth="1"/>
    <col min="13043" max="13043" width="21.42578125" style="1" customWidth="1"/>
    <col min="13044" max="13044" width="11.28515625" style="1" customWidth="1"/>
    <col min="13045" max="13045" width="9.5703125" style="1" customWidth="1"/>
    <col min="13046" max="13046" width="13.5703125" style="1" customWidth="1"/>
    <col min="13047" max="13056" width="12.140625" style="1" customWidth="1"/>
    <col min="13057" max="13066" width="0" style="1" hidden="1" customWidth="1"/>
    <col min="13067" max="13067" width="14.140625" style="1" customWidth="1"/>
    <col min="13068" max="13296" width="9.140625" style="1"/>
    <col min="13297" max="13297" width="1" style="1" customWidth="1"/>
    <col min="13298" max="13298" width="39.140625" style="1" customWidth="1"/>
    <col min="13299" max="13299" width="21.42578125" style="1" customWidth="1"/>
    <col min="13300" max="13300" width="11.28515625" style="1" customWidth="1"/>
    <col min="13301" max="13301" width="9.5703125" style="1" customWidth="1"/>
    <col min="13302" max="13302" width="13.5703125" style="1" customWidth="1"/>
    <col min="13303" max="13312" width="12.140625" style="1" customWidth="1"/>
    <col min="13313" max="13322" width="0" style="1" hidden="1" customWidth="1"/>
    <col min="13323" max="13323" width="14.140625" style="1" customWidth="1"/>
    <col min="13324" max="13552" width="9.140625" style="1"/>
    <col min="13553" max="13553" width="1" style="1" customWidth="1"/>
    <col min="13554" max="13554" width="39.140625" style="1" customWidth="1"/>
    <col min="13555" max="13555" width="21.42578125" style="1" customWidth="1"/>
    <col min="13556" max="13556" width="11.28515625" style="1" customWidth="1"/>
    <col min="13557" max="13557" width="9.5703125" style="1" customWidth="1"/>
    <col min="13558" max="13558" width="13.5703125" style="1" customWidth="1"/>
    <col min="13559" max="13568" width="12.140625" style="1" customWidth="1"/>
    <col min="13569" max="13578" width="0" style="1" hidden="1" customWidth="1"/>
    <col min="13579" max="13579" width="14.140625" style="1" customWidth="1"/>
    <col min="13580" max="13808" width="9.140625" style="1"/>
    <col min="13809" max="13809" width="1" style="1" customWidth="1"/>
    <col min="13810" max="13810" width="39.140625" style="1" customWidth="1"/>
    <col min="13811" max="13811" width="21.42578125" style="1" customWidth="1"/>
    <col min="13812" max="13812" width="11.28515625" style="1" customWidth="1"/>
    <col min="13813" max="13813" width="9.5703125" style="1" customWidth="1"/>
    <col min="13814" max="13814" width="13.5703125" style="1" customWidth="1"/>
    <col min="13815" max="13824" width="12.140625" style="1" customWidth="1"/>
    <col min="13825" max="13834" width="0" style="1" hidden="1" customWidth="1"/>
    <col min="13835" max="13835" width="14.140625" style="1" customWidth="1"/>
    <col min="13836" max="14064" width="9.140625" style="1"/>
    <col min="14065" max="14065" width="1" style="1" customWidth="1"/>
    <col min="14066" max="14066" width="39.140625" style="1" customWidth="1"/>
    <col min="14067" max="14067" width="21.42578125" style="1" customWidth="1"/>
    <col min="14068" max="14068" width="11.28515625" style="1" customWidth="1"/>
    <col min="14069" max="14069" width="9.5703125" style="1" customWidth="1"/>
    <col min="14070" max="14070" width="13.5703125" style="1" customWidth="1"/>
    <col min="14071" max="14080" width="12.140625" style="1" customWidth="1"/>
    <col min="14081" max="14090" width="0" style="1" hidden="1" customWidth="1"/>
    <col min="14091" max="14091" width="14.140625" style="1" customWidth="1"/>
    <col min="14092" max="14320" width="9.140625" style="1"/>
    <col min="14321" max="14321" width="1" style="1" customWidth="1"/>
    <col min="14322" max="14322" width="39.140625" style="1" customWidth="1"/>
    <col min="14323" max="14323" width="21.42578125" style="1" customWidth="1"/>
    <col min="14324" max="14324" width="11.28515625" style="1" customWidth="1"/>
    <col min="14325" max="14325" width="9.5703125" style="1" customWidth="1"/>
    <col min="14326" max="14326" width="13.5703125" style="1" customWidth="1"/>
    <col min="14327" max="14336" width="12.140625" style="1" customWidth="1"/>
    <col min="14337" max="14346" width="0" style="1" hidden="1" customWidth="1"/>
    <col min="14347" max="14347" width="14.140625" style="1" customWidth="1"/>
    <col min="14348" max="14576" width="9.140625" style="1"/>
    <col min="14577" max="14577" width="1" style="1" customWidth="1"/>
    <col min="14578" max="14578" width="39.140625" style="1" customWidth="1"/>
    <col min="14579" max="14579" width="21.42578125" style="1" customWidth="1"/>
    <col min="14580" max="14580" width="11.28515625" style="1" customWidth="1"/>
    <col min="14581" max="14581" width="9.5703125" style="1" customWidth="1"/>
    <col min="14582" max="14582" width="13.5703125" style="1" customWidth="1"/>
    <col min="14583" max="14592" width="12.140625" style="1" customWidth="1"/>
    <col min="14593" max="14602" width="0" style="1" hidden="1" customWidth="1"/>
    <col min="14603" max="14603" width="14.140625" style="1" customWidth="1"/>
    <col min="14604" max="14832" width="9.140625" style="1"/>
    <col min="14833" max="14833" width="1" style="1" customWidth="1"/>
    <col min="14834" max="14834" width="39.140625" style="1" customWidth="1"/>
    <col min="14835" max="14835" width="21.42578125" style="1" customWidth="1"/>
    <col min="14836" max="14836" width="11.28515625" style="1" customWidth="1"/>
    <col min="14837" max="14837" width="9.5703125" style="1" customWidth="1"/>
    <col min="14838" max="14838" width="13.5703125" style="1" customWidth="1"/>
    <col min="14839" max="14848" width="12.140625" style="1" customWidth="1"/>
    <col min="14849" max="14858" width="0" style="1" hidden="1" customWidth="1"/>
    <col min="14859" max="14859" width="14.140625" style="1" customWidth="1"/>
    <col min="14860" max="15088" width="9.140625" style="1"/>
    <col min="15089" max="15089" width="1" style="1" customWidth="1"/>
    <col min="15090" max="15090" width="39.140625" style="1" customWidth="1"/>
    <col min="15091" max="15091" width="21.42578125" style="1" customWidth="1"/>
    <col min="15092" max="15092" width="11.28515625" style="1" customWidth="1"/>
    <col min="15093" max="15093" width="9.5703125" style="1" customWidth="1"/>
    <col min="15094" max="15094" width="13.5703125" style="1" customWidth="1"/>
    <col min="15095" max="15104" width="12.140625" style="1" customWidth="1"/>
    <col min="15105" max="15114" width="0" style="1" hidden="1" customWidth="1"/>
    <col min="15115" max="15115" width="14.140625" style="1" customWidth="1"/>
    <col min="15116" max="15344" width="9.140625" style="1"/>
    <col min="15345" max="15345" width="1" style="1" customWidth="1"/>
    <col min="15346" max="15346" width="39.140625" style="1" customWidth="1"/>
    <col min="15347" max="15347" width="21.42578125" style="1" customWidth="1"/>
    <col min="15348" max="15348" width="11.28515625" style="1" customWidth="1"/>
    <col min="15349" max="15349" width="9.5703125" style="1" customWidth="1"/>
    <col min="15350" max="15350" width="13.5703125" style="1" customWidth="1"/>
    <col min="15351" max="15360" width="12.140625" style="1" customWidth="1"/>
    <col min="15361" max="15370" width="0" style="1" hidden="1" customWidth="1"/>
    <col min="15371" max="15371" width="14.140625" style="1" customWidth="1"/>
    <col min="15372" max="15600" width="9.140625" style="1"/>
    <col min="15601" max="15601" width="1" style="1" customWidth="1"/>
    <col min="15602" max="15602" width="39.140625" style="1" customWidth="1"/>
    <col min="15603" max="15603" width="21.42578125" style="1" customWidth="1"/>
    <col min="15604" max="15604" width="11.28515625" style="1" customWidth="1"/>
    <col min="15605" max="15605" width="9.5703125" style="1" customWidth="1"/>
    <col min="15606" max="15606" width="13.5703125" style="1" customWidth="1"/>
    <col min="15607" max="15616" width="12.140625" style="1" customWidth="1"/>
    <col min="15617" max="15626" width="0" style="1" hidden="1" customWidth="1"/>
    <col min="15627" max="15627" width="14.140625" style="1" customWidth="1"/>
    <col min="15628" max="15856" width="9.140625" style="1"/>
    <col min="15857" max="15857" width="1" style="1" customWidth="1"/>
    <col min="15858" max="15858" width="39.140625" style="1" customWidth="1"/>
    <col min="15859" max="15859" width="21.42578125" style="1" customWidth="1"/>
    <col min="15860" max="15860" width="11.28515625" style="1" customWidth="1"/>
    <col min="15861" max="15861" width="9.5703125" style="1" customWidth="1"/>
    <col min="15862" max="15862" width="13.5703125" style="1" customWidth="1"/>
    <col min="15863" max="15872" width="12.140625" style="1" customWidth="1"/>
    <col min="15873" max="15882" width="0" style="1" hidden="1" customWidth="1"/>
    <col min="15883" max="15883" width="14.140625" style="1" customWidth="1"/>
    <col min="15884" max="16112" width="9.140625" style="1"/>
    <col min="16113" max="16113" width="1" style="1" customWidth="1"/>
    <col min="16114" max="16114" width="39.140625" style="1" customWidth="1"/>
    <col min="16115" max="16115" width="21.42578125" style="1" customWidth="1"/>
    <col min="16116" max="16116" width="11.28515625" style="1" customWidth="1"/>
    <col min="16117" max="16117" width="9.5703125" style="1" customWidth="1"/>
    <col min="16118" max="16118" width="13.5703125" style="1" customWidth="1"/>
    <col min="16119" max="16128" width="12.140625" style="1" customWidth="1"/>
    <col min="16129" max="16138" width="0" style="1" hidden="1" customWidth="1"/>
    <col min="16139" max="16139" width="14.140625" style="1" customWidth="1"/>
    <col min="16140" max="16384" width="9.140625" style="1"/>
  </cols>
  <sheetData>
    <row r="1" spans="1:13" s="23" customFormat="1" ht="22.5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3" ht="12.75" customHeight="1"/>
    <row r="3" spans="1:13" ht="31.5" customHeight="1">
      <c r="A3" s="125" t="s">
        <v>1</v>
      </c>
      <c r="B3" s="125" t="s">
        <v>2</v>
      </c>
      <c r="C3" s="125" t="s">
        <v>3</v>
      </c>
      <c r="D3" s="125" t="s">
        <v>4</v>
      </c>
      <c r="E3" s="125"/>
      <c r="F3" s="125" t="s">
        <v>5</v>
      </c>
      <c r="G3" s="126" t="s">
        <v>38</v>
      </c>
      <c r="H3" s="126"/>
      <c r="I3" s="126"/>
      <c r="J3" s="126"/>
      <c r="K3" s="125" t="s">
        <v>6</v>
      </c>
    </row>
    <row r="4" spans="1:13" s="2" customFormat="1" ht="23.25" customHeight="1">
      <c r="A4" s="125"/>
      <c r="B4" s="125"/>
      <c r="C4" s="125"/>
      <c r="D4" s="3" t="s">
        <v>7</v>
      </c>
      <c r="E4" s="3" t="s">
        <v>8</v>
      </c>
      <c r="F4" s="125"/>
      <c r="G4" s="4">
        <v>2016</v>
      </c>
      <c r="H4" s="4">
        <v>2017</v>
      </c>
      <c r="I4" s="4">
        <v>2018</v>
      </c>
      <c r="J4" s="4">
        <v>2019</v>
      </c>
      <c r="K4" s="125"/>
    </row>
    <row r="5" spans="1:13" s="25" customFormat="1" ht="1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</row>
    <row r="6" spans="1:13" s="7" customFormat="1" ht="18.75" customHeight="1">
      <c r="A6" s="5" t="s">
        <v>9</v>
      </c>
      <c r="B6" s="123" t="s">
        <v>10</v>
      </c>
      <c r="C6" s="123"/>
      <c r="D6" s="123"/>
      <c r="E6" s="123"/>
      <c r="F6" s="6">
        <f t="shared" ref="F6:K7" si="0">SUM(F9,F16,F19)</f>
        <v>52470775</v>
      </c>
      <c r="G6" s="6">
        <f t="shared" si="0"/>
        <v>9028741</v>
      </c>
      <c r="H6" s="6">
        <f t="shared" si="0"/>
        <v>15655360</v>
      </c>
      <c r="I6" s="6">
        <f t="shared" si="0"/>
        <v>15465336</v>
      </c>
      <c r="J6" s="6">
        <f t="shared" si="0"/>
        <v>6500000</v>
      </c>
      <c r="K6" s="6">
        <f t="shared" si="0"/>
        <v>46649437</v>
      </c>
    </row>
    <row r="7" spans="1:13" s="7" customFormat="1" ht="18.75" customHeight="1">
      <c r="A7" s="5" t="s">
        <v>11</v>
      </c>
      <c r="B7" s="123" t="s">
        <v>12</v>
      </c>
      <c r="C7" s="123"/>
      <c r="D7" s="123"/>
      <c r="E7" s="123"/>
      <c r="F7" s="6">
        <f t="shared" si="0"/>
        <v>1757344</v>
      </c>
      <c r="G7" s="6">
        <f t="shared" si="0"/>
        <v>891576</v>
      </c>
      <c r="H7" s="6">
        <f t="shared" si="0"/>
        <v>156462</v>
      </c>
      <c r="I7" s="6">
        <f t="shared" si="0"/>
        <v>0</v>
      </c>
      <c r="J7" s="6">
        <f t="shared" si="0"/>
        <v>0</v>
      </c>
      <c r="K7" s="6">
        <f t="shared" si="0"/>
        <v>1048038</v>
      </c>
    </row>
    <row r="8" spans="1:13" s="7" customFormat="1" ht="18.75" customHeight="1">
      <c r="A8" s="5" t="s">
        <v>13</v>
      </c>
      <c r="B8" s="123" t="s">
        <v>14</v>
      </c>
      <c r="C8" s="123"/>
      <c r="D8" s="123"/>
      <c r="E8" s="123"/>
      <c r="F8" s="6">
        <f t="shared" ref="F8:K8" si="1">SUM(F13,F18,F21)</f>
        <v>50713431</v>
      </c>
      <c r="G8" s="6">
        <f t="shared" si="1"/>
        <v>8137165</v>
      </c>
      <c r="H8" s="6">
        <f t="shared" si="1"/>
        <v>15498898</v>
      </c>
      <c r="I8" s="6">
        <f t="shared" si="1"/>
        <v>15465336</v>
      </c>
      <c r="J8" s="6">
        <f t="shared" si="1"/>
        <v>6500000</v>
      </c>
      <c r="K8" s="6">
        <f t="shared" si="1"/>
        <v>45601399</v>
      </c>
    </row>
    <row r="9" spans="1:13" s="9" customFormat="1" ht="48.75" customHeight="1">
      <c r="A9" s="5" t="s">
        <v>15</v>
      </c>
      <c r="B9" s="123" t="s">
        <v>16</v>
      </c>
      <c r="C9" s="123"/>
      <c r="D9" s="123"/>
      <c r="E9" s="123"/>
      <c r="F9" s="8">
        <f>SUM(F10,F13)</f>
        <v>3040199</v>
      </c>
      <c r="G9" s="8">
        <f t="shared" ref="G9:K9" si="2">SUM(G10,G13)</f>
        <v>960197</v>
      </c>
      <c r="H9" s="8">
        <f t="shared" si="2"/>
        <v>1255360</v>
      </c>
      <c r="I9" s="8">
        <f t="shared" si="2"/>
        <v>115336</v>
      </c>
      <c r="J9" s="8">
        <f t="shared" si="2"/>
        <v>0</v>
      </c>
      <c r="K9" s="8">
        <f t="shared" si="2"/>
        <v>2330893</v>
      </c>
    </row>
    <row r="10" spans="1:13" s="7" customFormat="1" ht="18.75" customHeight="1">
      <c r="A10" s="5" t="s">
        <v>17</v>
      </c>
      <c r="B10" s="123" t="s">
        <v>12</v>
      </c>
      <c r="C10" s="123"/>
      <c r="D10" s="123"/>
      <c r="E10" s="123"/>
      <c r="F10" s="6">
        <f>SUM(F11:F12)</f>
        <v>1757344</v>
      </c>
      <c r="G10" s="6">
        <f t="shared" ref="G10:K10" si="3">SUM(G11:G12)</f>
        <v>891576</v>
      </c>
      <c r="H10" s="6">
        <f t="shared" si="3"/>
        <v>156462</v>
      </c>
      <c r="I10" s="6">
        <f t="shared" si="3"/>
        <v>0</v>
      </c>
      <c r="J10" s="6">
        <f t="shared" si="3"/>
        <v>0</v>
      </c>
      <c r="K10" s="6">
        <f t="shared" si="3"/>
        <v>1048038</v>
      </c>
    </row>
    <row r="11" spans="1:13" s="15" customFormat="1" ht="33.75" customHeight="1">
      <c r="A11" s="10" t="s">
        <v>46</v>
      </c>
      <c r="B11" s="11" t="s">
        <v>19</v>
      </c>
      <c r="C11" s="12" t="s">
        <v>20</v>
      </c>
      <c r="D11" s="13">
        <v>2015</v>
      </c>
      <c r="E11" s="13">
        <v>2016</v>
      </c>
      <c r="F11" s="14">
        <v>975036</v>
      </c>
      <c r="G11" s="14">
        <v>265730</v>
      </c>
      <c r="H11" s="14"/>
      <c r="I11" s="14"/>
      <c r="J11" s="14"/>
      <c r="K11" s="14">
        <f t="shared" ref="K11:K12" si="4">SUM(G11:J11)</f>
        <v>265730</v>
      </c>
    </row>
    <row r="12" spans="1:13" s="15" customFormat="1" ht="33.75" customHeight="1">
      <c r="A12" s="10" t="s">
        <v>258</v>
      </c>
      <c r="B12" s="11" t="s">
        <v>259</v>
      </c>
      <c r="C12" s="12" t="s">
        <v>20</v>
      </c>
      <c r="D12" s="13">
        <v>2016</v>
      </c>
      <c r="E12" s="13">
        <v>2017</v>
      </c>
      <c r="F12" s="14">
        <v>782308</v>
      </c>
      <c r="G12" s="14">
        <v>625846</v>
      </c>
      <c r="H12" s="14">
        <v>156462</v>
      </c>
      <c r="I12" s="14"/>
      <c r="J12" s="14"/>
      <c r="K12" s="14">
        <f t="shared" si="4"/>
        <v>782308</v>
      </c>
    </row>
    <row r="13" spans="1:13" s="7" customFormat="1" ht="18.75" customHeight="1">
      <c r="A13" s="5" t="s">
        <v>21</v>
      </c>
      <c r="B13" s="123" t="s">
        <v>14</v>
      </c>
      <c r="C13" s="123"/>
      <c r="D13" s="123"/>
      <c r="E13" s="123"/>
      <c r="F13" s="6">
        <f>SUM(F14:F15)</f>
        <v>1282855</v>
      </c>
      <c r="G13" s="6">
        <f t="shared" ref="G13:K13" si="5">SUM(G14:G15)</f>
        <v>68621</v>
      </c>
      <c r="H13" s="6">
        <f t="shared" si="5"/>
        <v>1098898</v>
      </c>
      <c r="I13" s="6">
        <f t="shared" si="5"/>
        <v>115336</v>
      </c>
      <c r="J13" s="6">
        <f t="shared" si="5"/>
        <v>0</v>
      </c>
      <c r="K13" s="6">
        <f t="shared" si="5"/>
        <v>1282855</v>
      </c>
      <c r="L13" s="16"/>
      <c r="M13" s="16"/>
    </row>
    <row r="14" spans="1:13" s="15" customFormat="1" ht="48.75" customHeight="1">
      <c r="A14" s="10" t="s">
        <v>47</v>
      </c>
      <c r="B14" s="11" t="s">
        <v>22</v>
      </c>
      <c r="C14" s="13" t="s">
        <v>18</v>
      </c>
      <c r="D14" s="13">
        <v>2016</v>
      </c>
      <c r="E14" s="13">
        <v>2018</v>
      </c>
      <c r="F14" s="14">
        <v>292494</v>
      </c>
      <c r="G14" s="14">
        <v>57021</v>
      </c>
      <c r="H14" s="14">
        <v>120137</v>
      </c>
      <c r="I14" s="14">
        <v>115336</v>
      </c>
      <c r="J14" s="14"/>
      <c r="K14" s="14">
        <f t="shared" ref="K14:K18" si="6">SUM(G14:J14)</f>
        <v>292494</v>
      </c>
    </row>
    <row r="15" spans="1:13" s="15" customFormat="1" ht="48.75" customHeight="1">
      <c r="A15" s="10" t="s">
        <v>261</v>
      </c>
      <c r="B15" s="11" t="s">
        <v>262</v>
      </c>
      <c r="C15" s="13" t="s">
        <v>18</v>
      </c>
      <c r="D15" s="13">
        <v>2016</v>
      </c>
      <c r="E15" s="13">
        <v>2017</v>
      </c>
      <c r="F15" s="14">
        <v>990361</v>
      </c>
      <c r="G15" s="14">
        <v>11600</v>
      </c>
      <c r="H15" s="14">
        <v>978761</v>
      </c>
      <c r="I15" s="14"/>
      <c r="J15" s="14"/>
      <c r="K15" s="14">
        <f t="shared" ref="K15" si="7">SUM(G15:J15)</f>
        <v>990361</v>
      </c>
    </row>
    <row r="16" spans="1:13" s="9" customFormat="1" ht="18.75" customHeight="1">
      <c r="A16" s="5" t="s">
        <v>23</v>
      </c>
      <c r="B16" s="123" t="s">
        <v>24</v>
      </c>
      <c r="C16" s="123"/>
      <c r="D16" s="123"/>
      <c r="E16" s="123"/>
      <c r="F16" s="8">
        <f>SUM(F17:F18)</f>
        <v>0</v>
      </c>
      <c r="G16" s="8">
        <f>SUM(G17:G18)</f>
        <v>0</v>
      </c>
      <c r="H16" s="8">
        <f>SUM(H17:H18)</f>
        <v>0</v>
      </c>
      <c r="I16" s="8">
        <f>SUM(I17:I18)</f>
        <v>0</v>
      </c>
      <c r="J16" s="8">
        <f>SUM(J17:J18)</f>
        <v>0</v>
      </c>
      <c r="K16" s="8">
        <f t="shared" si="6"/>
        <v>0</v>
      </c>
    </row>
    <row r="17" spans="1:11" s="9" customFormat="1" ht="18.75" customHeight="1">
      <c r="A17" s="5" t="s">
        <v>25</v>
      </c>
      <c r="B17" s="123" t="s">
        <v>12</v>
      </c>
      <c r="C17" s="123"/>
      <c r="D17" s="123"/>
      <c r="E17" s="123"/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f t="shared" si="6"/>
        <v>0</v>
      </c>
    </row>
    <row r="18" spans="1:11" s="9" customFormat="1" ht="18.75" customHeight="1">
      <c r="A18" s="5" t="s">
        <v>26</v>
      </c>
      <c r="B18" s="123" t="s">
        <v>14</v>
      </c>
      <c r="C18" s="123"/>
      <c r="D18" s="123"/>
      <c r="E18" s="123"/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f t="shared" si="6"/>
        <v>0</v>
      </c>
    </row>
    <row r="19" spans="1:11" s="9" customFormat="1" ht="18.75" customHeight="1">
      <c r="A19" s="5" t="s">
        <v>27</v>
      </c>
      <c r="B19" s="123" t="s">
        <v>28</v>
      </c>
      <c r="C19" s="123"/>
      <c r="D19" s="123"/>
      <c r="E19" s="123"/>
      <c r="F19" s="8">
        <f>SUM(F20,F21)</f>
        <v>49430576</v>
      </c>
      <c r="G19" s="8">
        <f t="shared" ref="G19:K19" si="8">SUM(G20,G21)</f>
        <v>8068544</v>
      </c>
      <c r="H19" s="8">
        <f t="shared" si="8"/>
        <v>14400000</v>
      </c>
      <c r="I19" s="8">
        <f t="shared" si="8"/>
        <v>15350000</v>
      </c>
      <c r="J19" s="8">
        <f t="shared" si="8"/>
        <v>6500000</v>
      </c>
      <c r="K19" s="8">
        <f t="shared" si="8"/>
        <v>44318544</v>
      </c>
    </row>
    <row r="20" spans="1:11" s="9" customFormat="1" ht="18.75" customHeight="1">
      <c r="A20" s="5" t="s">
        <v>29</v>
      </c>
      <c r="B20" s="123" t="s">
        <v>12</v>
      </c>
      <c r="C20" s="123"/>
      <c r="D20" s="123"/>
      <c r="E20" s="123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f>SUM(G20:J20)</f>
        <v>0</v>
      </c>
    </row>
    <row r="21" spans="1:11" s="9" customFormat="1" ht="18.75" customHeight="1">
      <c r="A21" s="5" t="s">
        <v>30</v>
      </c>
      <c r="B21" s="123" t="s">
        <v>14</v>
      </c>
      <c r="C21" s="123"/>
      <c r="D21" s="123"/>
      <c r="E21" s="123"/>
      <c r="F21" s="8">
        <f t="shared" ref="F21" si="9">SUM(F22:F33)</f>
        <v>49430576</v>
      </c>
      <c r="G21" s="8">
        <f t="shared" ref="G21" si="10">SUM(G22:G33)</f>
        <v>8068544</v>
      </c>
      <c r="H21" s="8">
        <f t="shared" ref="H21" si="11">SUM(H22:H33)</f>
        <v>14400000</v>
      </c>
      <c r="I21" s="8">
        <f t="shared" ref="I21" si="12">SUM(I22:I33)</f>
        <v>15350000</v>
      </c>
      <c r="J21" s="8">
        <f t="shared" ref="J21" si="13">SUM(J22:J33)</f>
        <v>6500000</v>
      </c>
      <c r="K21" s="8">
        <f t="shared" ref="K21" si="14">SUM(K22:K33)</f>
        <v>44318544</v>
      </c>
    </row>
    <row r="22" spans="1:11" s="15" customFormat="1" ht="35.25" customHeight="1">
      <c r="A22" s="10" t="s">
        <v>31</v>
      </c>
      <c r="B22" s="11" t="s">
        <v>32</v>
      </c>
      <c r="C22" s="13" t="s">
        <v>33</v>
      </c>
      <c r="D22" s="13">
        <v>2014</v>
      </c>
      <c r="E22" s="13">
        <v>2018</v>
      </c>
      <c r="F22" s="14">
        <v>744637</v>
      </c>
      <c r="G22" s="14">
        <v>180000</v>
      </c>
      <c r="H22" s="14">
        <v>200000</v>
      </c>
      <c r="I22" s="14">
        <v>100000</v>
      </c>
      <c r="J22" s="14"/>
      <c r="K22" s="14">
        <f t="shared" ref="K22:K27" si="15">SUM(G22:J22)</f>
        <v>480000</v>
      </c>
    </row>
    <row r="23" spans="1:11" s="15" customFormat="1" ht="18.75" customHeight="1">
      <c r="A23" s="10" t="s">
        <v>49</v>
      </c>
      <c r="B23" s="11" t="s">
        <v>34</v>
      </c>
      <c r="C23" s="13" t="s">
        <v>33</v>
      </c>
      <c r="D23" s="13">
        <v>2014</v>
      </c>
      <c r="E23" s="13">
        <v>2016</v>
      </c>
      <c r="F23" s="14">
        <v>854719</v>
      </c>
      <c r="G23" s="14">
        <v>350000</v>
      </c>
      <c r="H23" s="14"/>
      <c r="I23" s="14"/>
      <c r="J23" s="14"/>
      <c r="K23" s="14">
        <f>SUM(G23:J23)</f>
        <v>350000</v>
      </c>
    </row>
    <row r="24" spans="1:11" s="15" customFormat="1" ht="36.75" customHeight="1">
      <c r="A24" s="10" t="s">
        <v>50</v>
      </c>
      <c r="B24" s="11" t="s">
        <v>41</v>
      </c>
      <c r="C24" s="13" t="s">
        <v>33</v>
      </c>
      <c r="D24" s="13">
        <v>2016</v>
      </c>
      <c r="E24" s="13">
        <v>2019</v>
      </c>
      <c r="F24" s="14">
        <v>4582700</v>
      </c>
      <c r="G24" s="14">
        <v>82700</v>
      </c>
      <c r="H24" s="14">
        <v>1500000</v>
      </c>
      <c r="I24" s="14">
        <v>1500000</v>
      </c>
      <c r="J24" s="14">
        <v>1500000</v>
      </c>
      <c r="K24" s="14">
        <f>SUM(G24:J24)</f>
        <v>4582700</v>
      </c>
    </row>
    <row r="25" spans="1:11" s="15" customFormat="1" ht="41.25" customHeight="1">
      <c r="A25" s="10" t="s">
        <v>51</v>
      </c>
      <c r="B25" s="11" t="s">
        <v>42</v>
      </c>
      <c r="C25" s="13" t="s">
        <v>33</v>
      </c>
      <c r="D25" s="13">
        <v>2016</v>
      </c>
      <c r="E25" s="13">
        <v>2018</v>
      </c>
      <c r="F25" s="14">
        <v>2050000</v>
      </c>
      <c r="G25" s="14">
        <v>50000</v>
      </c>
      <c r="H25" s="14">
        <v>1000000</v>
      </c>
      <c r="I25" s="14">
        <v>1000000</v>
      </c>
      <c r="J25" s="14"/>
      <c r="K25" s="14">
        <f>SUM(G25:J25)</f>
        <v>2050000</v>
      </c>
    </row>
    <row r="26" spans="1:11" s="15" customFormat="1" ht="35.25" customHeight="1">
      <c r="A26" s="10" t="s">
        <v>52</v>
      </c>
      <c r="B26" s="11" t="s">
        <v>43</v>
      </c>
      <c r="C26" s="13" t="s">
        <v>33</v>
      </c>
      <c r="D26" s="13">
        <v>2015</v>
      </c>
      <c r="E26" s="13">
        <v>2018</v>
      </c>
      <c r="F26" s="14">
        <v>800000</v>
      </c>
      <c r="G26" s="14">
        <v>200000</v>
      </c>
      <c r="H26" s="14">
        <v>200000</v>
      </c>
      <c r="I26" s="14">
        <v>200000</v>
      </c>
      <c r="J26" s="14"/>
      <c r="K26" s="14">
        <f>SUM(G26:J26)</f>
        <v>600000</v>
      </c>
    </row>
    <row r="27" spans="1:11" s="15" customFormat="1" ht="36" customHeight="1">
      <c r="A27" s="10" t="s">
        <v>53</v>
      </c>
      <c r="B27" s="11" t="s">
        <v>260</v>
      </c>
      <c r="C27" s="13" t="s">
        <v>33</v>
      </c>
      <c r="D27" s="13">
        <v>2014</v>
      </c>
      <c r="E27" s="13">
        <v>2018</v>
      </c>
      <c r="F27" s="14">
        <v>680947</v>
      </c>
      <c r="G27" s="14">
        <v>250000</v>
      </c>
      <c r="H27" s="14">
        <v>150000</v>
      </c>
      <c r="I27" s="14">
        <v>150000</v>
      </c>
      <c r="J27" s="14"/>
      <c r="K27" s="14">
        <f t="shared" si="15"/>
        <v>550000</v>
      </c>
    </row>
    <row r="28" spans="1:11" s="15" customFormat="1" ht="48.75" customHeight="1">
      <c r="A28" s="10" t="s">
        <v>54</v>
      </c>
      <c r="B28" s="11" t="s">
        <v>35</v>
      </c>
      <c r="C28" s="13" t="s">
        <v>18</v>
      </c>
      <c r="D28" s="13">
        <v>2011</v>
      </c>
      <c r="E28" s="13">
        <v>2018</v>
      </c>
      <c r="F28" s="14">
        <v>1576269</v>
      </c>
      <c r="G28" s="14">
        <v>500000</v>
      </c>
      <c r="H28" s="14">
        <v>400000</v>
      </c>
      <c r="I28" s="14">
        <v>400000</v>
      </c>
      <c r="J28" s="14"/>
      <c r="K28" s="14">
        <f t="shared" ref="K28" si="16">SUM(G28:J28)</f>
        <v>1300000</v>
      </c>
    </row>
    <row r="29" spans="1:11" s="15" customFormat="1" ht="33.75" customHeight="1">
      <c r="A29" s="10" t="s">
        <v>55</v>
      </c>
      <c r="B29" s="11" t="s">
        <v>39</v>
      </c>
      <c r="C29" s="13" t="s">
        <v>33</v>
      </c>
      <c r="D29" s="13">
        <v>2014</v>
      </c>
      <c r="E29" s="13">
        <v>2017</v>
      </c>
      <c r="F29" s="14">
        <v>5912828</v>
      </c>
      <c r="G29" s="14">
        <v>1500000</v>
      </c>
      <c r="H29" s="14">
        <v>1500000</v>
      </c>
      <c r="I29" s="14"/>
      <c r="J29" s="14"/>
      <c r="K29" s="14">
        <f t="shared" ref="K29:K33" si="17">SUM(G29:J29)</f>
        <v>3000000</v>
      </c>
    </row>
    <row r="30" spans="1:11" s="15" customFormat="1" ht="33.75" customHeight="1">
      <c r="A30" s="10" t="s">
        <v>56</v>
      </c>
      <c r="B30" s="11" t="s">
        <v>44</v>
      </c>
      <c r="C30" s="13" t="s">
        <v>33</v>
      </c>
      <c r="D30" s="13">
        <v>2016</v>
      </c>
      <c r="E30" s="13">
        <v>2017</v>
      </c>
      <c r="F30" s="14">
        <v>500000</v>
      </c>
      <c r="G30" s="14">
        <v>50000</v>
      </c>
      <c r="H30" s="14">
        <v>450000</v>
      </c>
      <c r="I30" s="14"/>
      <c r="J30" s="14"/>
      <c r="K30" s="14">
        <f t="shared" si="17"/>
        <v>500000</v>
      </c>
    </row>
    <row r="31" spans="1:11" ht="19.5" customHeight="1">
      <c r="A31" s="10" t="s">
        <v>57</v>
      </c>
      <c r="B31" s="11" t="s">
        <v>45</v>
      </c>
      <c r="C31" s="12" t="s">
        <v>48</v>
      </c>
      <c r="D31" s="13">
        <v>2015</v>
      </c>
      <c r="E31" s="13">
        <v>2016</v>
      </c>
      <c r="F31" s="14">
        <v>705000</v>
      </c>
      <c r="G31" s="14">
        <v>705000</v>
      </c>
      <c r="H31" s="14"/>
      <c r="I31" s="14"/>
      <c r="J31" s="14"/>
      <c r="K31" s="14">
        <f t="shared" ref="K31" si="18">SUM(G31:J31)</f>
        <v>705000</v>
      </c>
    </row>
    <row r="32" spans="1:11" s="15" customFormat="1" ht="69.75" customHeight="1">
      <c r="A32" s="10" t="s">
        <v>58</v>
      </c>
      <c r="B32" s="11" t="s">
        <v>40</v>
      </c>
      <c r="C32" s="13" t="s">
        <v>33</v>
      </c>
      <c r="D32" s="13">
        <v>2011</v>
      </c>
      <c r="E32" s="13">
        <v>2019</v>
      </c>
      <c r="F32" s="14">
        <v>30819632</v>
      </c>
      <c r="G32" s="14">
        <v>4000000</v>
      </c>
      <c r="H32" s="14">
        <v>9000000</v>
      </c>
      <c r="I32" s="14">
        <v>12000000</v>
      </c>
      <c r="J32" s="14">
        <v>5000000</v>
      </c>
      <c r="K32" s="14">
        <f t="shared" si="17"/>
        <v>30000000</v>
      </c>
    </row>
    <row r="33" spans="1:11" s="17" customFormat="1" ht="48.75" customHeight="1">
      <c r="A33" s="114" t="s">
        <v>59</v>
      </c>
      <c r="B33" s="115" t="s">
        <v>36</v>
      </c>
      <c r="C33" s="118" t="s">
        <v>37</v>
      </c>
      <c r="D33" s="116">
        <v>2015</v>
      </c>
      <c r="E33" s="116">
        <v>2016</v>
      </c>
      <c r="F33" s="117">
        <v>203844</v>
      </c>
      <c r="G33" s="117">
        <v>200844</v>
      </c>
      <c r="H33" s="117"/>
      <c r="I33" s="117"/>
      <c r="J33" s="117"/>
      <c r="K33" s="117">
        <f t="shared" si="17"/>
        <v>200844</v>
      </c>
    </row>
    <row r="34" spans="1:11" s="17" customFormat="1" ht="16.5" customHeight="1">
      <c r="A34" s="18"/>
      <c r="B34" s="19"/>
      <c r="C34" s="20"/>
      <c r="D34" s="21"/>
      <c r="E34" s="21"/>
      <c r="F34" s="22"/>
      <c r="G34" s="22"/>
      <c r="H34" s="22"/>
      <c r="I34" s="22"/>
      <c r="J34" s="22"/>
      <c r="K34" s="22"/>
    </row>
  </sheetData>
  <sheetProtection algorithmName="SHA-512" hashValue="bCb36PzqP/wGQfLdtpkbVF/HnSQZJqHLf1hiG5I5pifI+BAZUwuZ0oj+01H7xFcTB4ZaX+6urKI9I8paD1HnDg==" saltValue="NLB5+LCnIcb2qkOO76L5sQ==" spinCount="100000" sheet="1" objects="1" scenarios="1" formatColumns="0" formatRows="0"/>
  <mergeCells count="20">
    <mergeCell ref="B10:E10"/>
    <mergeCell ref="A1:K1"/>
    <mergeCell ref="A3:A4"/>
    <mergeCell ref="B3:B4"/>
    <mergeCell ref="C3:C4"/>
    <mergeCell ref="D3:E3"/>
    <mergeCell ref="F3:F4"/>
    <mergeCell ref="G3:J3"/>
    <mergeCell ref="K3:K4"/>
    <mergeCell ref="B6:E6"/>
    <mergeCell ref="B7:E7"/>
    <mergeCell ref="B8:E8"/>
    <mergeCell ref="B9:E9"/>
    <mergeCell ref="B21:E21"/>
    <mergeCell ref="B13:E13"/>
    <mergeCell ref="B16:E16"/>
    <mergeCell ref="B17:E17"/>
    <mergeCell ref="B18:E18"/>
    <mergeCell ref="B19:E19"/>
    <mergeCell ref="B20:E20"/>
  </mergeCells>
  <pageMargins left="0.15748031496062992" right="0.15748031496062992" top="1.22" bottom="0.9" header="0.49" footer="0.39"/>
  <pageSetup paperSize="9" scale="85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Zal.1</vt:lpstr>
      <vt:lpstr>Zał.2 </vt:lpstr>
      <vt:lpstr>Zal.1!Obszar_wydruku</vt:lpstr>
      <vt:lpstr>'Zał.2 '!Obszar_wydruku</vt:lpstr>
      <vt:lpstr>Zal.1!Tytuły_wydruku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2016-10-13T11:17:10Z</cp:lastPrinted>
  <dcterms:created xsi:type="dcterms:W3CDTF">2015-10-13T07:48:25Z</dcterms:created>
  <dcterms:modified xsi:type="dcterms:W3CDTF">2016-10-13T11:20:06Z</dcterms:modified>
</cp:coreProperties>
</file>