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lanta Wyszomirska\Desktop\sesja IX - 29.10.15 r\"/>
    </mc:Choice>
  </mc:AlternateContent>
  <bookViews>
    <workbookView xWindow="0" yWindow="0" windowWidth="28800" windowHeight="12435"/>
  </bookViews>
  <sheets>
    <sheet name="Zał.1" sheetId="4" r:id="rId1"/>
    <sheet name="Zał.2 " sheetId="1" r:id="rId2"/>
  </sheets>
  <externalReferences>
    <externalReference r:id="rId3"/>
  </externalReferences>
  <definedNames>
    <definedName name="_xlnm.Print_Area" localSheetId="0">Zał.1!$A$1:$T$115</definedName>
    <definedName name="_xlnm.Print_Area" localSheetId="1">'Zał.2 '!$A$1:$K$36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8" i="4" l="1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T51" i="4"/>
  <c r="T111" i="4" s="1"/>
  <c r="S51" i="4"/>
  <c r="S55" i="4" s="1"/>
  <c r="R51" i="4"/>
  <c r="Q51" i="4"/>
  <c r="P51" i="4"/>
  <c r="P111" i="4" s="1"/>
  <c r="O51" i="4"/>
  <c r="N51" i="4"/>
  <c r="N55" i="4" s="1"/>
  <c r="M51" i="4"/>
  <c r="L51" i="4"/>
  <c r="L111" i="4" s="1"/>
  <c r="K51" i="4"/>
  <c r="K55" i="4" s="1"/>
  <c r="J51" i="4"/>
  <c r="J111" i="4" s="1"/>
  <c r="I51" i="4"/>
  <c r="H51" i="4"/>
  <c r="H111" i="4" s="1"/>
  <c r="G51" i="4"/>
  <c r="F51" i="4"/>
  <c r="E51" i="4"/>
  <c r="D51" i="4"/>
  <c r="C51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T46" i="4"/>
  <c r="T110" i="4" s="1"/>
  <c r="S46" i="4"/>
  <c r="S110" i="4" s="1"/>
  <c r="R46" i="4"/>
  <c r="R110" i="4" s="1"/>
  <c r="Q46" i="4"/>
  <c r="Q110" i="4" s="1"/>
  <c r="P46" i="4"/>
  <c r="P110" i="4" s="1"/>
  <c r="O46" i="4"/>
  <c r="O110" i="4" s="1"/>
  <c r="N46" i="4"/>
  <c r="N110" i="4" s="1"/>
  <c r="M46" i="4"/>
  <c r="M110" i="4" s="1"/>
  <c r="L46" i="4"/>
  <c r="L110" i="4" s="1"/>
  <c r="K46" i="4"/>
  <c r="K110" i="4" s="1"/>
  <c r="J46" i="4"/>
  <c r="J110" i="4" s="1"/>
  <c r="I46" i="4"/>
  <c r="I110" i="4" s="1"/>
  <c r="H46" i="4"/>
  <c r="H110" i="4" s="1"/>
  <c r="G46" i="4"/>
  <c r="G110" i="4" s="1"/>
  <c r="F46" i="4"/>
  <c r="E46" i="4"/>
  <c r="D46" i="4"/>
  <c r="C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G3" i="4"/>
  <c r="F3" i="4" s="1"/>
  <c r="E3" i="4" s="1"/>
  <c r="D3" i="4" s="1"/>
  <c r="C3" i="4" s="1"/>
  <c r="G2" i="4"/>
  <c r="H3" i="4" l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H112" i="4"/>
  <c r="L112" i="4"/>
  <c r="P112" i="4"/>
  <c r="T56" i="4"/>
  <c r="I56" i="4"/>
  <c r="M56" i="4"/>
  <c r="Q56" i="4"/>
  <c r="R112" i="4"/>
  <c r="R56" i="4"/>
  <c r="R55" i="4"/>
  <c r="L56" i="4"/>
  <c r="I112" i="4"/>
  <c r="M112" i="4"/>
  <c r="Q112" i="4"/>
  <c r="R111" i="4"/>
  <c r="T112" i="4"/>
  <c r="N112" i="4"/>
  <c r="N56" i="4"/>
  <c r="H56" i="4"/>
  <c r="G111" i="4"/>
  <c r="G112" i="4"/>
  <c r="G56" i="4"/>
  <c r="K111" i="4"/>
  <c r="K112" i="4"/>
  <c r="K56" i="4"/>
  <c r="O111" i="4"/>
  <c r="O112" i="4"/>
  <c r="O56" i="4"/>
  <c r="S111" i="4"/>
  <c r="S112" i="4"/>
  <c r="S56" i="4"/>
  <c r="G55" i="4"/>
  <c r="O55" i="4"/>
  <c r="J112" i="4"/>
  <c r="J56" i="4"/>
  <c r="P56" i="4"/>
  <c r="J55" i="4"/>
  <c r="N111" i="4"/>
  <c r="I55" i="4"/>
  <c r="M55" i="4"/>
  <c r="Q55" i="4"/>
  <c r="I111" i="4"/>
  <c r="M111" i="4"/>
  <c r="Q111" i="4"/>
  <c r="H55" i="4"/>
  <c r="L55" i="4"/>
  <c r="P55" i="4"/>
  <c r="T55" i="4"/>
  <c r="G27" i="1"/>
  <c r="H27" i="1"/>
  <c r="I27" i="1"/>
  <c r="J27" i="1"/>
  <c r="K27" i="1"/>
  <c r="F27" i="1"/>
  <c r="K33" i="1"/>
  <c r="K32" i="1" l="1"/>
  <c r="K31" i="1"/>
  <c r="K30" i="1"/>
  <c r="K29" i="1"/>
  <c r="K28" i="1"/>
  <c r="K8" i="1" s="1"/>
  <c r="J8" i="1"/>
  <c r="I8" i="1"/>
  <c r="F8" i="1"/>
  <c r="K26" i="1"/>
  <c r="K25" i="1" s="1"/>
  <c r="J25" i="1"/>
  <c r="I25" i="1"/>
  <c r="I24" i="1" s="1"/>
  <c r="H25" i="1"/>
  <c r="H24" i="1" s="1"/>
  <c r="G25" i="1"/>
  <c r="F25" i="1"/>
  <c r="J24" i="1"/>
  <c r="G24" i="1"/>
  <c r="F24" i="1"/>
  <c r="K23" i="1"/>
  <c r="K22" i="1"/>
  <c r="J21" i="1"/>
  <c r="I21" i="1"/>
  <c r="H21" i="1"/>
  <c r="G21" i="1"/>
  <c r="K21" i="1" s="1"/>
  <c r="F21" i="1"/>
  <c r="K20" i="1"/>
  <c r="K19" i="1"/>
  <c r="K18" i="1"/>
  <c r="K17" i="1"/>
  <c r="J17" i="1"/>
  <c r="I17" i="1"/>
  <c r="H17" i="1"/>
  <c r="G17" i="1"/>
  <c r="F17" i="1"/>
  <c r="K16" i="1"/>
  <c r="K15" i="1"/>
  <c r="K14" i="1"/>
  <c r="K13" i="1"/>
  <c r="K12" i="1"/>
  <c r="K11" i="1"/>
  <c r="K10" i="1"/>
  <c r="J10" i="1"/>
  <c r="I10" i="1"/>
  <c r="H10" i="1"/>
  <c r="H9" i="1" s="1"/>
  <c r="H6" i="1" s="1"/>
  <c r="G10" i="1"/>
  <c r="G9" i="1" s="1"/>
  <c r="F10" i="1"/>
  <c r="J9" i="1"/>
  <c r="J6" i="1" s="1"/>
  <c r="I9" i="1"/>
  <c r="I6" i="1" s="1"/>
  <c r="F9" i="1"/>
  <c r="F6" i="1" s="1"/>
  <c r="H8" i="1"/>
  <c r="G8" i="1"/>
  <c r="J7" i="1"/>
  <c r="I7" i="1"/>
  <c r="F7" i="1"/>
  <c r="K9" i="1" l="1"/>
  <c r="G6" i="1"/>
  <c r="K7" i="1"/>
  <c r="K24" i="1"/>
  <c r="G7" i="1"/>
  <c r="H7" i="1"/>
  <c r="K6" i="1" l="1"/>
</calcChain>
</file>

<file path=xl/sharedStrings.xml><?xml version="1.0" encoding="utf-8"?>
<sst xmlns="http://schemas.openxmlformats.org/spreadsheetml/2006/main" count="469" uniqueCount="269">
  <si>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</si>
  <si>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</si>
  <si>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</si>
  <si>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</si>
  <si>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</si>
  <si>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</si>
  <si>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2015</t>
  </si>
  <si>
    <t>Limit 2016</t>
  </si>
  <si>
    <t>Limit 2017</t>
  </si>
  <si>
    <t>Limit 2018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</si>
  <si>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</si>
  <si>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</si>
  <si>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</si>
  <si>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</si>
  <si>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</si>
  <si>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</si>
  <si>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</si>
  <si>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</si>
  <si>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</si>
  <si>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</si>
  <si>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</si>
  <si>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</si>
  <si>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1.1.1.1</t>
  </si>
  <si>
    <t>Pracownik - najlepsza inwestycja</t>
  </si>
  <si>
    <t>Powiatowy Urząd Pracy</t>
  </si>
  <si>
    <t>1.1.1.2</t>
  </si>
  <si>
    <t>Przeciwdziałanie wykluczeniu cyfrowemu na terenie Powiatu Otwockiego - wyrównujemy szanse</t>
  </si>
  <si>
    <t>Starostwo Powiatowe</t>
  </si>
  <si>
    <t>1.1.1.3</t>
  </si>
  <si>
    <t>Uczymy się zawodu w Europie - II</t>
  </si>
  <si>
    <t>Zespół Szkół Ekonomiczno-Gastronomicznych</t>
  </si>
  <si>
    <t>1.1.1.4</t>
  </si>
  <si>
    <t>Uczymy się zawodu w Europie</t>
  </si>
  <si>
    <t>1.1.1.5</t>
  </si>
  <si>
    <t>Zwiększenie potencjału szkół zawodowych na Mazowszu</t>
  </si>
  <si>
    <t>1.1.1.6</t>
  </si>
  <si>
    <t>Zespół Szkół Nr 2</t>
  </si>
  <si>
    <t>1.1.2.</t>
  </si>
  <si>
    <t>1.1.2.1</t>
  </si>
  <si>
    <t>Przyspieszenie wzrostu konkurencyjności województwa mazowieckiego, przez budowanie społeczeństwa informacyjnego i gospodarki opartej na wiedzy poprzez stworzenie zintegrowanych baz wiedzy o Mazowszu</t>
  </si>
  <si>
    <t>1.1.2.2</t>
  </si>
  <si>
    <t>Rozwój elektronicznej administracji w samorządach województwa mazowieckiego wspomagającej niwelowanie dwudzielności potencjału województwa</t>
  </si>
  <si>
    <t>1.1.2.3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</si>
  <si>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</si>
  <si>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</si>
  <si>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</si>
  <si>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</si>
  <si>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</si>
  <si>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</si>
  <si>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</si>
  <si>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</si>
  <si>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1.3.1.1</t>
  </si>
  <si>
    <t>Organizacja współzawodnictwa sportowego w ramach Mistrzostw Powiatu Otwockiego szkół podstawowych, gimnazjalnych i ponadgimnazjalnych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</si>
  <si>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</si>
  <si>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</si>
  <si>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</si>
  <si>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</si>
  <si>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</si>
  <si>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Budowa chodnika przy drodze powiatowej Nr 2711W ul. Wrzosowa w Gliniance</t>
  </si>
  <si>
    <t>1.3.2.3</t>
  </si>
  <si>
    <t>Modernizacja drogi powiatowej Nr 2711W w Gliniance i Rzakcie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</si>
  <si>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</si>
  <si>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</si>
  <si>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</si>
  <si>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</si>
  <si>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</si>
  <si>
    <t>Skarbnik Powiatu</t>
  </si>
  <si>
    <t>Wiesław Miłkowski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</si>
  <si>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</si>
  <si>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</si>
  <si>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</si>
  <si>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</si>
  <si>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</si>
  <si>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</si>
  <si>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</si>
  <si>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</si>
  <si>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</si>
  <si>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</si>
  <si>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</si>
  <si>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</si>
  <si>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</si>
  <si>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</si>
  <si>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</si>
  <si>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</si>
  <si>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</si>
  <si>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</si>
  <si>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</si>
  <si>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</si>
  <si>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</si>
  <si>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</si>
  <si>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</si>
  <si>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</si>
  <si>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</si>
  <si>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</si>
  <si>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</si>
  <si>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</si>
  <si>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</si>
  <si>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</si>
  <si>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</si>
  <si>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</si>
  <si>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</si>
  <si>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</si>
  <si>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</si>
  <si>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</si>
  <si>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</si>
  <si>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</si>
  <si>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</si>
  <si>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</si>
  <si>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</si>
  <si>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</si>
  <si>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</si>
  <si>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</si>
  <si>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</si>
  <si>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</si>
  <si>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</si>
  <si>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</si>
  <si>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</si>
  <si>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</si>
  <si>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</si>
  <si>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</si>
  <si>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</si>
  <si>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</si>
  <si>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</si>
  <si>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</si>
  <si>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</si>
  <si>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</si>
  <si>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</si>
  <si>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</si>
  <si>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</si>
  <si>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</si>
  <si>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</si>
  <si>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</si>
  <si>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</si>
  <si>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</si>
  <si>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</si>
  <si>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</si>
  <si>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</si>
  <si>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</si>
  <si>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</si>
  <si>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</si>
  <si>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</si>
  <si>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</si>
  <si>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</si>
  <si>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</si>
  <si>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</si>
  <si>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</si>
  <si>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</si>
  <si>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</si>
  <si>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</si>
  <si>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</si>
  <si>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</si>
  <si>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</si>
  <si>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</si>
  <si>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</si>
  <si>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</si>
  <si>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</si>
  <si>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</si>
  <si>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</si>
  <si>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</si>
  <si>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</si>
  <si>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</si>
  <si>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</si>
  <si>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</si>
  <si>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</si>
  <si>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</si>
  <si>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</si>
  <si>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</si>
  <si>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</si>
  <si>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</si>
  <si>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</si>
  <si>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</si>
  <si>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</si>
  <si>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</si>
  <si>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</si>
  <si>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</si>
  <si>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</si>
  <si>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</si>
  <si>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</si>
  <si>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</si>
  <si>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</si>
  <si>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</si>
  <si>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</si>
  <si>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</si>
  <si>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</si>
  <si>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</si>
  <si>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</si>
  <si>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</si>
  <si>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</si>
  <si>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</si>
  <si>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</si>
  <si>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</si>
  <si>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</si>
  <si>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</si>
  <si>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</si>
  <si>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</si>
  <si>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</si>
  <si>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</si>
  <si>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</si>
  <si>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</si>
  <si>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</si>
  <si>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</si>
  <si>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</si>
  <si>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</si>
  <si>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</si>
  <si>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</si>
  <si>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</si>
  <si>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</si>
  <si>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</si>
  <si>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</si>
  <si>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</si>
  <si>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</si>
  <si>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</si>
  <si>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</si>
  <si>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</si>
  <si>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</si>
  <si>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</si>
  <si>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</si>
  <si>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</si>
  <si>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</si>
  <si>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</si>
  <si>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</si>
  <si>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</si>
  <si>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</si>
  <si>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</si>
  <si>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</si>
  <si>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</si>
  <si>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</si>
  <si>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</si>
  <si>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</si>
  <si>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</si>
  <si>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</si>
  <si>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</si>
  <si>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</si>
  <si>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</si>
  <si>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</si>
  <si>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</si>
  <si>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</si>
  <si>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</si>
  <si>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</si>
  <si>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</si>
  <si>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</si>
  <si>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</si>
  <si>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</si>
  <si>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</si>
  <si>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</si>
  <si>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</si>
  <si>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</si>
  <si>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</si>
  <si>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</si>
  <si>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</si>
  <si>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</si>
  <si>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</si>
  <si>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</si>
  <si>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</si>
  <si>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</si>
  <si>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</si>
  <si>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</si>
  <si>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</si>
  <si>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</si>
  <si>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</si>
  <si>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</si>
  <si>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</si>
  <si>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</si>
  <si>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</si>
  <si>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</si>
  <si>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1.3.2.6</t>
  </si>
  <si>
    <t>Domy dla Dzieci w Otwocku</t>
  </si>
  <si>
    <t xml:space="preserve">Rozbudowa i modernizacja budynku przy ul. Ujejskiego 14 </t>
  </si>
  <si>
    <t>Inne rozchody niezwiązane ze spłatą długu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</si>
</sst>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6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9"/>
      <color indexed="8"/>
      <name val="Czcionka tekstu podstawowego"/>
      <charset val="238"/>
    </font>
    <font>
      <i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3" fillId="0" borderId="0"/>
    <xf numFmtId="0" fontId="8" fillId="0" borderId="0"/>
    <xf numFmtId="9" fontId="13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/>
    <xf numFmtId="4" fontId="5" fillId="3" borderId="1" xfId="1" applyNumberFormat="1" applyFont="1" applyFill="1" applyBorder="1" applyAlignment="1"/>
    <xf numFmtId="4" fontId="5" fillId="3" borderId="1" xfId="1" applyNumberFormat="1" applyFont="1" applyFill="1" applyBorder="1" applyAlignment="1">
      <alignment horizontal="right" wrapText="1"/>
    </xf>
    <xf numFmtId="0" fontId="5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4" fontId="3" fillId="0" borderId="4" xfId="1" applyNumberFormat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Fill="1" applyAlignment="1">
      <alignment horizontal="right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4" fontId="6" fillId="0" borderId="5" xfId="1" applyNumberFormat="1" applyFont="1" applyBorder="1" applyAlignment="1"/>
    <xf numFmtId="0" fontId="6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4" fontId="6" fillId="0" borderId="6" xfId="1" applyNumberFormat="1" applyFont="1" applyBorder="1" applyAlignment="1"/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4" fontId="6" fillId="0" borderId="4" xfId="1" applyNumberFormat="1" applyFont="1" applyBorder="1" applyAlignment="1"/>
    <xf numFmtId="0" fontId="6" fillId="0" borderId="0" xfId="1" applyFont="1" applyFill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4" fontId="3" fillId="0" borderId="5" xfId="1" applyNumberFormat="1" applyFont="1" applyBorder="1" applyAlignment="1"/>
    <xf numFmtId="0" fontId="6" fillId="0" borderId="0" xfId="1" applyFont="1"/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2" applyProtection="1"/>
    <xf numFmtId="0" fontId="10" fillId="0" borderId="0" xfId="2" applyFont="1" applyProtection="1"/>
    <xf numFmtId="0" fontId="10" fillId="0" borderId="0" xfId="2" applyFont="1" applyBorder="1" applyAlignment="1" applyProtection="1"/>
    <xf numFmtId="0" fontId="12" fillId="0" borderId="0" xfId="2" applyFont="1" applyBorder="1" applyAlignment="1" applyProtection="1">
      <alignment horizontal="left" vertical="center"/>
    </xf>
    <xf numFmtId="0" fontId="12" fillId="0" borderId="7" xfId="2" applyFont="1" applyBorder="1" applyAlignment="1" applyProtection="1">
      <alignment vertical="center" wrapText="1"/>
    </xf>
    <xf numFmtId="49" fontId="11" fillId="4" borderId="8" xfId="3" applyNumberFormat="1" applyFont="1" applyFill="1" applyBorder="1" applyAlignment="1" applyProtection="1">
      <alignment horizontal="center" vertical="center"/>
    </xf>
    <xf numFmtId="1" fontId="11" fillId="4" borderId="8" xfId="3" applyNumberFormat="1" applyFont="1" applyFill="1" applyBorder="1" applyAlignment="1" applyProtection="1">
      <alignment horizontal="center" vertical="center" wrapText="1"/>
    </xf>
    <xf numFmtId="1" fontId="11" fillId="4" borderId="10" xfId="3" applyNumberFormat="1" applyFont="1" applyFill="1" applyBorder="1" applyAlignment="1" applyProtection="1">
      <alignment horizontal="center" vertical="center" wrapText="1"/>
    </xf>
    <xf numFmtId="1" fontId="11" fillId="4" borderId="11" xfId="3" applyNumberFormat="1" applyFont="1" applyFill="1" applyBorder="1" applyAlignment="1" applyProtection="1">
      <alignment horizontal="center" vertical="center" wrapText="1"/>
    </xf>
    <xf numFmtId="1" fontId="11" fillId="4" borderId="12" xfId="3" applyNumberFormat="1" applyFont="1" applyFill="1" applyBorder="1" applyAlignment="1" applyProtection="1">
      <alignment horizontal="center" vertical="center"/>
    </xf>
    <xf numFmtId="1" fontId="11" fillId="4" borderId="10" xfId="3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4" fillId="0" borderId="13" xfId="2" applyFont="1" applyBorder="1" applyAlignment="1" applyProtection="1">
      <alignment horizontal="left" vertical="center"/>
    </xf>
    <xf numFmtId="0" fontId="14" fillId="0" borderId="14" xfId="2" applyFont="1" applyBorder="1" applyAlignment="1" applyProtection="1">
      <alignment vertical="center" wrapText="1"/>
    </xf>
    <xf numFmtId="164" fontId="15" fillId="3" borderId="13" xfId="3" applyNumberFormat="1" applyFont="1" applyFill="1" applyBorder="1" applyAlignment="1" applyProtection="1">
      <alignment vertical="center" shrinkToFit="1"/>
    </xf>
    <xf numFmtId="164" fontId="15" fillId="3" borderId="15" xfId="3" applyNumberFormat="1" applyFont="1" applyFill="1" applyBorder="1" applyAlignment="1" applyProtection="1">
      <alignment vertical="center" shrinkToFit="1"/>
    </xf>
    <xf numFmtId="164" fontId="15" fillId="3" borderId="16" xfId="3" applyNumberFormat="1" applyFont="1" applyFill="1" applyBorder="1" applyAlignment="1" applyProtection="1">
      <alignment vertical="center" shrinkToFit="1"/>
    </xf>
    <xf numFmtId="164" fontId="15" fillId="0" borderId="17" xfId="3" applyNumberFormat="1" applyFont="1" applyFill="1" applyBorder="1" applyAlignment="1" applyProtection="1">
      <alignment vertical="center" shrinkToFit="1"/>
    </xf>
    <xf numFmtId="164" fontId="15" fillId="0" borderId="15" xfId="3" applyNumberFormat="1" applyFont="1" applyFill="1" applyBorder="1" applyAlignment="1" applyProtection="1">
      <alignment vertical="center" shrinkToFit="1"/>
    </xf>
    <xf numFmtId="0" fontId="20" fillId="0" borderId="0" xfId="2" applyFont="1" applyProtection="1"/>
    <xf numFmtId="0" fontId="16" fillId="0" borderId="13" xfId="2" applyFont="1" applyBorder="1" applyAlignment="1" applyProtection="1">
      <alignment horizontal="left" vertical="center"/>
    </xf>
    <xf numFmtId="0" fontId="16" fillId="0" borderId="18" xfId="2" applyFont="1" applyBorder="1" applyAlignment="1" applyProtection="1">
      <alignment vertical="center" wrapText="1"/>
    </xf>
    <xf numFmtId="164" fontId="17" fillId="3" borderId="13" xfId="3" applyNumberFormat="1" applyFont="1" applyFill="1" applyBorder="1" applyAlignment="1" applyProtection="1">
      <alignment vertical="center" shrinkToFit="1"/>
    </xf>
    <xf numFmtId="164" fontId="17" fillId="3" borderId="15" xfId="3" applyNumberFormat="1" applyFont="1" applyFill="1" applyBorder="1" applyAlignment="1" applyProtection="1">
      <alignment vertical="center" shrinkToFit="1"/>
    </xf>
    <xf numFmtId="164" fontId="17" fillId="3" borderId="16" xfId="3" applyNumberFormat="1" applyFont="1" applyFill="1" applyBorder="1" applyAlignment="1" applyProtection="1">
      <alignment vertical="center" shrinkToFit="1"/>
    </xf>
    <xf numFmtId="164" fontId="17" fillId="0" borderId="17" xfId="3" applyNumberFormat="1" applyFont="1" applyFill="1" applyBorder="1" applyAlignment="1" applyProtection="1">
      <alignment vertical="center" shrinkToFit="1"/>
    </xf>
    <xf numFmtId="164" fontId="17" fillId="0" borderId="15" xfId="3" applyNumberFormat="1" applyFont="1" applyFill="1" applyBorder="1" applyAlignment="1" applyProtection="1">
      <alignment vertical="center" shrinkToFit="1"/>
    </xf>
    <xf numFmtId="164" fontId="15" fillId="3" borderId="13" xfId="3" applyNumberFormat="1" applyFont="1" applyFill="1" applyBorder="1" applyAlignment="1" applyProtection="1">
      <alignment horizontal="center" vertical="center" shrinkToFit="1"/>
    </xf>
    <xf numFmtId="164" fontId="15" fillId="3" borderId="15" xfId="3" applyNumberFormat="1" applyFont="1" applyFill="1" applyBorder="1" applyAlignment="1" applyProtection="1">
      <alignment horizontal="center" vertical="center" shrinkToFit="1"/>
    </xf>
    <xf numFmtId="164" fontId="15" fillId="3" borderId="16" xfId="3" applyNumberFormat="1" applyFont="1" applyFill="1" applyBorder="1" applyAlignment="1" applyProtection="1">
      <alignment horizontal="center" vertical="center" shrinkToFit="1"/>
    </xf>
    <xf numFmtId="164" fontId="15" fillId="0" borderId="17" xfId="3" applyNumberFormat="1" applyFont="1" applyFill="1" applyBorder="1" applyAlignment="1" applyProtection="1">
      <alignment horizontal="center" vertical="center" shrinkToFit="1"/>
    </xf>
    <xf numFmtId="164" fontId="15" fillId="0" borderId="15" xfId="3" applyNumberFormat="1" applyFont="1" applyFill="1" applyBorder="1" applyAlignment="1" applyProtection="1">
      <alignment horizontal="center" vertical="center" shrinkToFit="1"/>
    </xf>
    <xf numFmtId="165" fontId="17" fillId="3" borderId="13" xfId="3" applyNumberFormat="1" applyFont="1" applyFill="1" applyBorder="1" applyAlignment="1" applyProtection="1">
      <alignment vertical="center" shrinkToFit="1"/>
    </xf>
    <xf numFmtId="165" fontId="17" fillId="3" borderId="15" xfId="3" applyNumberFormat="1" applyFont="1" applyFill="1" applyBorder="1" applyAlignment="1" applyProtection="1">
      <alignment vertical="center" shrinkToFit="1"/>
    </xf>
    <xf numFmtId="165" fontId="17" fillId="3" borderId="16" xfId="3" applyNumberFormat="1" applyFont="1" applyFill="1" applyBorder="1" applyAlignment="1" applyProtection="1">
      <alignment vertical="center" shrinkToFit="1"/>
    </xf>
    <xf numFmtId="165" fontId="17" fillId="0" borderId="17" xfId="3" applyNumberFormat="1" applyFont="1" applyFill="1" applyBorder="1" applyAlignment="1" applyProtection="1">
      <alignment vertical="center" shrinkToFit="1"/>
    </xf>
    <xf numFmtId="165" fontId="17" fillId="0" borderId="15" xfId="3" applyNumberFormat="1" applyFont="1" applyFill="1" applyBorder="1" applyAlignment="1" applyProtection="1">
      <alignment vertical="center" shrinkToFit="1"/>
    </xf>
    <xf numFmtId="0" fontId="16" fillId="0" borderId="14" xfId="2" applyFont="1" applyBorder="1" applyAlignment="1" applyProtection="1">
      <alignment vertical="center" wrapText="1"/>
    </xf>
    <xf numFmtId="0" fontId="17" fillId="0" borderId="17" xfId="3" applyNumberFormat="1" applyFont="1" applyFill="1" applyBorder="1" applyAlignment="1" applyProtection="1">
      <alignment horizontal="center" vertical="center" shrinkToFit="1"/>
    </xf>
    <xf numFmtId="0" fontId="17" fillId="0" borderId="15" xfId="3" applyNumberFormat="1" applyFont="1" applyFill="1" applyBorder="1" applyAlignment="1" applyProtection="1">
      <alignment horizontal="center" vertical="center" shrinkToFit="1"/>
    </xf>
    <xf numFmtId="0" fontId="16" fillId="0" borderId="18" xfId="2" quotePrefix="1" applyFont="1" applyBorder="1" applyAlignment="1" applyProtection="1">
      <alignment vertical="center" wrapText="1"/>
    </xf>
    <xf numFmtId="0" fontId="16" fillId="0" borderId="19" xfId="2" applyFont="1" applyBorder="1" applyAlignment="1" applyProtection="1">
      <alignment horizontal="left" vertical="center"/>
    </xf>
    <xf numFmtId="0" fontId="16" fillId="0" borderId="20" xfId="2" applyFont="1" applyBorder="1" applyAlignment="1" applyProtection="1">
      <alignment vertical="center" wrapText="1"/>
    </xf>
    <xf numFmtId="164" fontId="17" fillId="3" borderId="19" xfId="3" applyNumberFormat="1" applyFont="1" applyFill="1" applyBorder="1" applyAlignment="1" applyProtection="1">
      <alignment vertical="center" shrinkToFit="1"/>
    </xf>
    <xf numFmtId="164" fontId="17" fillId="3" borderId="21" xfId="3" applyNumberFormat="1" applyFont="1" applyFill="1" applyBorder="1" applyAlignment="1" applyProtection="1">
      <alignment vertical="center" shrinkToFit="1"/>
    </xf>
    <xf numFmtId="164" fontId="17" fillId="3" borderId="22" xfId="3" applyNumberFormat="1" applyFont="1" applyFill="1" applyBorder="1" applyAlignment="1" applyProtection="1">
      <alignment vertical="center" shrinkToFit="1"/>
    </xf>
    <xf numFmtId="164" fontId="17" fillId="0" borderId="23" xfId="3" applyNumberFormat="1" applyFont="1" applyFill="1" applyBorder="1" applyAlignment="1" applyProtection="1">
      <alignment vertical="center" shrinkToFit="1"/>
    </xf>
    <xf numFmtId="164" fontId="17" fillId="0" borderId="21" xfId="3" applyNumberFormat="1" applyFont="1" applyFill="1" applyBorder="1" applyAlignment="1" applyProtection="1">
      <alignment vertical="center" shrinkToFit="1"/>
    </xf>
    <xf numFmtId="0" fontId="14" fillId="0" borderId="24" xfId="2" applyFont="1" applyBorder="1" applyAlignment="1" applyProtection="1">
      <alignment horizontal="left" vertical="center"/>
    </xf>
    <xf numFmtId="0" fontId="14" fillId="0" borderId="25" xfId="2" applyFont="1" applyBorder="1" applyAlignment="1" applyProtection="1">
      <alignment vertical="center" wrapText="1"/>
    </xf>
    <xf numFmtId="164" fontId="15" fillId="3" borderId="24" xfId="3" applyNumberFormat="1" applyFont="1" applyFill="1" applyBorder="1" applyAlignment="1" applyProtection="1">
      <alignment horizontal="center" vertical="center" shrinkToFit="1"/>
    </xf>
    <xf numFmtId="164" fontId="15" fillId="3" borderId="26" xfId="3" applyNumberFormat="1" applyFont="1" applyFill="1" applyBorder="1" applyAlignment="1" applyProtection="1">
      <alignment horizontal="center" vertical="center" shrinkToFit="1"/>
    </xf>
    <xf numFmtId="164" fontId="15" fillId="3" borderId="27" xfId="3" applyNumberFormat="1" applyFont="1" applyFill="1" applyBorder="1" applyAlignment="1" applyProtection="1">
      <alignment horizontal="center" vertical="center" shrinkToFit="1"/>
    </xf>
    <xf numFmtId="164" fontId="15" fillId="0" borderId="28" xfId="3" applyNumberFormat="1" applyFont="1" applyFill="1" applyBorder="1" applyAlignment="1" applyProtection="1">
      <alignment horizontal="center" vertical="center" shrinkToFit="1"/>
    </xf>
    <xf numFmtId="164" fontId="15" fillId="0" borderId="26" xfId="3" applyNumberFormat="1" applyFont="1" applyFill="1" applyBorder="1" applyAlignment="1" applyProtection="1">
      <alignment horizontal="center" vertical="center" shrinkToFit="1"/>
    </xf>
    <xf numFmtId="0" fontId="16" fillId="0" borderId="29" xfId="2" applyFont="1" applyBorder="1" applyAlignment="1" applyProtection="1">
      <alignment horizontal="left" vertical="center"/>
    </xf>
    <xf numFmtId="0" fontId="16" fillId="0" borderId="30" xfId="2" applyFont="1" applyBorder="1" applyAlignment="1" applyProtection="1">
      <alignment vertical="center" wrapText="1"/>
    </xf>
    <xf numFmtId="164" fontId="17" fillId="3" borderId="29" xfId="3" applyNumberFormat="1" applyFont="1" applyFill="1" applyBorder="1" applyAlignment="1" applyProtection="1">
      <alignment vertical="center" shrinkToFit="1"/>
    </xf>
    <xf numFmtId="164" fontId="17" fillId="3" borderId="31" xfId="3" applyNumberFormat="1" applyFont="1" applyFill="1" applyBorder="1" applyAlignment="1" applyProtection="1">
      <alignment vertical="center" shrinkToFit="1"/>
    </xf>
    <xf numFmtId="164" fontId="17" fillId="3" borderId="32" xfId="3" applyNumberFormat="1" applyFont="1" applyFill="1" applyBorder="1" applyAlignment="1" applyProtection="1">
      <alignment vertical="center" shrinkToFit="1"/>
    </xf>
    <xf numFmtId="164" fontId="17" fillId="0" borderId="33" xfId="3" applyNumberFormat="1" applyFont="1" applyFill="1" applyBorder="1" applyAlignment="1" applyProtection="1">
      <alignment vertical="center" shrinkToFit="1"/>
    </xf>
    <xf numFmtId="164" fontId="17" fillId="0" borderId="31" xfId="3" applyNumberFormat="1" applyFont="1" applyFill="1" applyBorder="1" applyAlignment="1" applyProtection="1">
      <alignment vertical="center" shrinkToFit="1"/>
    </xf>
    <xf numFmtId="0" fontId="14" fillId="0" borderId="24" xfId="4" applyFont="1" applyBorder="1" applyAlignment="1" applyProtection="1">
      <alignment horizontal="left" vertical="center"/>
    </xf>
    <xf numFmtId="0" fontId="14" fillId="0" borderId="25" xfId="4" applyFont="1" applyBorder="1" applyAlignment="1" applyProtection="1">
      <alignment vertical="center" wrapText="1"/>
    </xf>
    <xf numFmtId="0" fontId="16" fillId="0" borderId="29" xfId="4" applyFont="1" applyBorder="1" applyAlignment="1" applyProtection="1">
      <alignment horizontal="left" vertical="center"/>
    </xf>
    <xf numFmtId="0" fontId="16" fillId="0" borderId="30" xfId="4" applyFont="1" applyBorder="1" applyAlignment="1" applyProtection="1">
      <alignment vertical="center" wrapText="1"/>
    </xf>
    <xf numFmtId="164" fontId="17" fillId="3" borderId="29" xfId="3" applyNumberFormat="1" applyFont="1" applyFill="1" applyBorder="1" applyAlignment="1" applyProtection="1">
      <alignment horizontal="center" vertical="center" shrinkToFit="1"/>
    </xf>
    <xf numFmtId="164" fontId="17" fillId="3" borderId="31" xfId="3" applyNumberFormat="1" applyFont="1" applyFill="1" applyBorder="1" applyAlignment="1" applyProtection="1">
      <alignment horizontal="center" vertical="center" shrinkToFit="1"/>
    </xf>
    <xf numFmtId="164" fontId="17" fillId="3" borderId="32" xfId="3" applyNumberFormat="1" applyFont="1" applyFill="1" applyBorder="1" applyAlignment="1" applyProtection="1">
      <alignment horizontal="center" vertical="center" shrinkToFit="1"/>
    </xf>
    <xf numFmtId="0" fontId="16" fillId="0" borderId="13" xfId="4" applyFont="1" applyBorder="1" applyAlignment="1" applyProtection="1">
      <alignment horizontal="left" vertical="center"/>
    </xf>
    <xf numFmtId="0" fontId="16" fillId="0" borderId="18" xfId="4" applyFont="1" applyBorder="1" applyAlignment="1" applyProtection="1">
      <alignment vertical="center" wrapText="1"/>
    </xf>
    <xf numFmtId="164" fontId="17" fillId="3" borderId="13" xfId="3" applyNumberFormat="1" applyFont="1" applyFill="1" applyBorder="1" applyAlignment="1" applyProtection="1">
      <alignment horizontal="center" vertical="center" shrinkToFit="1"/>
    </xf>
    <xf numFmtId="164" fontId="17" fillId="3" borderId="15" xfId="3" applyNumberFormat="1" applyFont="1" applyFill="1" applyBorder="1" applyAlignment="1" applyProtection="1">
      <alignment horizontal="center" vertical="center" shrinkToFit="1"/>
    </xf>
    <xf numFmtId="164" fontId="17" fillId="3" borderId="16" xfId="3" applyNumberFormat="1" applyFont="1" applyFill="1" applyBorder="1" applyAlignment="1" applyProtection="1">
      <alignment horizontal="center" vertical="center" shrinkToFit="1"/>
    </xf>
    <xf numFmtId="10" fontId="17" fillId="0" borderId="17" xfId="5" applyNumberFormat="1" applyFont="1" applyFill="1" applyBorder="1" applyAlignment="1" applyProtection="1">
      <alignment vertical="center" shrinkToFit="1"/>
    </xf>
    <xf numFmtId="0" fontId="16" fillId="0" borderId="34" xfId="4" applyFont="1" applyBorder="1" applyAlignment="1" applyProtection="1">
      <alignment horizontal="left" vertical="center"/>
    </xf>
    <xf numFmtId="0" fontId="16" fillId="0" borderId="35" xfId="4" applyFont="1" applyBorder="1" applyAlignment="1" applyProtection="1">
      <alignment vertical="center" wrapText="1"/>
    </xf>
    <xf numFmtId="164" fontId="17" fillId="3" borderId="34" xfId="3" applyNumberFormat="1" applyFont="1" applyFill="1" applyBorder="1" applyAlignment="1" applyProtection="1">
      <alignment horizontal="center" vertical="center" shrinkToFit="1"/>
    </xf>
    <xf numFmtId="164" fontId="17" fillId="3" borderId="36" xfId="3" applyNumberFormat="1" applyFont="1" applyFill="1" applyBorder="1" applyAlignment="1" applyProtection="1">
      <alignment horizontal="center" vertical="center" shrinkToFit="1"/>
    </xf>
    <xf numFmtId="164" fontId="17" fillId="3" borderId="37" xfId="3" applyNumberFormat="1" applyFont="1" applyFill="1" applyBorder="1" applyAlignment="1" applyProtection="1">
      <alignment horizontal="center" vertical="center" shrinkToFit="1"/>
    </xf>
    <xf numFmtId="10" fontId="17" fillId="0" borderId="38" xfId="5" applyNumberFormat="1" applyFont="1" applyFill="1" applyBorder="1" applyAlignment="1" applyProtection="1">
      <alignment vertical="center" shrinkToFit="1"/>
    </xf>
    <xf numFmtId="0" fontId="10" fillId="0" borderId="0" xfId="2" applyFont="1" applyBorder="1" applyAlignment="1" applyProtection="1">
      <alignment vertical="center"/>
    </xf>
    <xf numFmtId="0" fontId="21" fillId="0" borderId="0" xfId="2" applyFont="1" applyProtection="1"/>
    <xf numFmtId="0" fontId="21" fillId="0" borderId="0" xfId="2" applyFont="1" applyAlignment="1" applyProtection="1"/>
    <xf numFmtId="0" fontId="22" fillId="0" borderId="0" xfId="2" applyFont="1" applyProtection="1"/>
    <xf numFmtId="0" fontId="10" fillId="0" borderId="0" xfId="2" applyFont="1" applyAlignment="1" applyProtection="1"/>
    <xf numFmtId="0" fontId="16" fillId="0" borderId="34" xfId="2" applyFont="1" applyBorder="1" applyAlignment="1" applyProtection="1">
      <alignment horizontal="left" vertical="center"/>
    </xf>
    <xf numFmtId="0" fontId="16" fillId="0" borderId="35" xfId="2" applyFont="1" applyBorder="1" applyAlignment="1" applyProtection="1">
      <alignment vertical="center" wrapText="1"/>
    </xf>
    <xf numFmtId="164" fontId="17" fillId="3" borderId="34" xfId="3" applyNumberFormat="1" applyFont="1" applyFill="1" applyBorder="1" applyAlignment="1" applyProtection="1">
      <alignment vertical="center" shrinkToFit="1"/>
    </xf>
    <xf numFmtId="164" fontId="17" fillId="3" borderId="36" xfId="3" applyNumberFormat="1" applyFont="1" applyFill="1" applyBorder="1" applyAlignment="1" applyProtection="1">
      <alignment vertical="center" shrinkToFit="1"/>
    </xf>
    <xf numFmtId="164" fontId="17" fillId="3" borderId="37" xfId="3" applyNumberFormat="1" applyFont="1" applyFill="1" applyBorder="1" applyAlignment="1" applyProtection="1">
      <alignment vertical="center" shrinkToFit="1"/>
    </xf>
    <xf numFmtId="164" fontId="17" fillId="0" borderId="38" xfId="3" applyNumberFormat="1" applyFont="1" applyFill="1" applyBorder="1" applyAlignment="1" applyProtection="1">
      <alignment vertical="center" shrinkToFit="1"/>
    </xf>
    <xf numFmtId="164" fontId="17" fillId="0" borderId="36" xfId="3" applyNumberFormat="1" applyFont="1" applyFill="1" applyBorder="1" applyAlignment="1" applyProtection="1">
      <alignment vertical="center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Border="1" applyAlignment="1"/>
    <xf numFmtId="0" fontId="11" fillId="0" borderId="7" xfId="2" applyFont="1" applyBorder="1" applyAlignment="1" applyProtection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49" fontId="11" fillId="4" borderId="9" xfId="3" applyNumberFormat="1" applyFont="1" applyFill="1" applyBorder="1" applyAlignment="1" applyProtection="1">
      <alignment vertical="center"/>
    </xf>
    <xf numFmtId="0" fontId="16" fillId="0" borderId="18" xfId="2" applyFont="1" applyBorder="1" applyAlignment="1" applyProtection="1">
      <alignment horizontal="left" vertical="center" wrapText="1"/>
    </xf>
    <xf numFmtId="0" fontId="11" fillId="0" borderId="7" xfId="2" applyFont="1" applyBorder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</cellXfs>
  <cellStyles count="7">
    <cellStyle name="Normalny" xfId="0" builtinId="0"/>
    <cellStyle name="Normalny 2" xfId="1"/>
    <cellStyle name="Normalny 3" xfId="2"/>
    <cellStyle name="Normalny 6 2" xfId="3"/>
    <cellStyle name="Normalny 8" xfId="6"/>
    <cellStyle name="Normalny 9" xfId="4"/>
    <cellStyle name="Procentowy 2 2" xf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/>
      <sheetData sheetId="2"/>
      <sheetData sheetId="3"/>
      <sheetData sheetId="4">
        <row r="1">
          <cell r="N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U115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T1"/>
    </sheetView>
  </sheetViews>
  <sheetFormatPr defaultRowHeight="14.25"/>
  <cols>
    <col min="1" max="1" width="6.42578125" style="42" customWidth="1"/>
    <col min="2" max="2" width="29.7109375" style="126" customWidth="1"/>
    <col min="3" max="20" width="11.85546875" style="42" customWidth="1"/>
    <col min="21" max="16384" width="9.140625" style="41"/>
  </cols>
  <sheetData>
    <row r="1" spans="1:21" ht="20.25">
      <c r="A1" s="144" t="s">
        <v>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1" ht="15.75">
      <c r="B2" s="43"/>
      <c r="C2" s="143" t="s">
        <v>69</v>
      </c>
      <c r="D2" s="143"/>
      <c r="E2" s="139" t="s">
        <v>70</v>
      </c>
      <c r="F2" s="139" t="s">
        <v>69</v>
      </c>
      <c r="G2" s="44" t="str">
        <f>""</f>
        <v/>
      </c>
      <c r="H2" s="45"/>
      <c r="I2" s="45"/>
      <c r="J2" s="45"/>
      <c r="K2" s="45"/>
    </row>
    <row r="3" spans="1:21" ht="38.25" customHeight="1">
      <c r="A3" s="46" t="s">
        <v>1</v>
      </c>
      <c r="B3" s="141" t="s">
        <v>71</v>
      </c>
      <c r="C3" s="47">
        <f>+D3-1</f>
        <v>2012</v>
      </c>
      <c r="D3" s="48">
        <f>+E3-1</f>
        <v>2013</v>
      </c>
      <c r="E3" s="48">
        <f>+F3</f>
        <v>2014</v>
      </c>
      <c r="F3" s="49">
        <f>+G3-1</f>
        <v>2014</v>
      </c>
      <c r="G3" s="50">
        <f>+[1]DaneZrodlowe!$N$1</f>
        <v>2015</v>
      </c>
      <c r="H3" s="51">
        <f>+G3+1</f>
        <v>2016</v>
      </c>
      <c r="I3" s="51">
        <f t="shared" ref="I3:T3" si="0">+H3+1</f>
        <v>2017</v>
      </c>
      <c r="J3" s="51">
        <f t="shared" si="0"/>
        <v>2018</v>
      </c>
      <c r="K3" s="51">
        <f t="shared" si="0"/>
        <v>2019</v>
      </c>
      <c r="L3" s="51">
        <f t="shared" si="0"/>
        <v>2020</v>
      </c>
      <c r="M3" s="51">
        <f t="shared" si="0"/>
        <v>2021</v>
      </c>
      <c r="N3" s="51">
        <f t="shared" si="0"/>
        <v>2022</v>
      </c>
      <c r="O3" s="51">
        <f t="shared" si="0"/>
        <v>2023</v>
      </c>
      <c r="P3" s="51">
        <f t="shared" si="0"/>
        <v>2024</v>
      </c>
      <c r="Q3" s="51">
        <f t="shared" si="0"/>
        <v>2025</v>
      </c>
      <c r="R3" s="51">
        <f t="shared" si="0"/>
        <v>2026</v>
      </c>
      <c r="S3" s="51">
        <f t="shared" si="0"/>
        <v>2027</v>
      </c>
      <c r="T3" s="51">
        <f t="shared" si="0"/>
        <v>2028</v>
      </c>
      <c r="U3" s="52"/>
    </row>
    <row r="4" spans="1:21" ht="17.25" customHeight="1">
      <c r="A4" s="53">
        <v>1</v>
      </c>
      <c r="B4" s="54" t="s">
        <v>72</v>
      </c>
      <c r="C4" s="55">
        <f>105537543.78</f>
        <v>105537543.78</v>
      </c>
      <c r="D4" s="56">
        <f>114258599.67</f>
        <v>114258599.67</v>
      </c>
      <c r="E4" s="56">
        <f>122238721</f>
        <v>122238721</v>
      </c>
      <c r="F4" s="57">
        <f>109073534.78</f>
        <v>109073534.78</v>
      </c>
      <c r="G4" s="58">
        <f>112780294</f>
        <v>112780294</v>
      </c>
      <c r="H4" s="59">
        <f>119538641</f>
        <v>119538641</v>
      </c>
      <c r="I4" s="59">
        <f>122466648</f>
        <v>122466648</v>
      </c>
      <c r="J4" s="59">
        <f>125685314</f>
        <v>125685314</v>
      </c>
      <c r="K4" s="59">
        <f>130092727</f>
        <v>130092727</v>
      </c>
      <c r="L4" s="59">
        <f>134441251</f>
        <v>134441251</v>
      </c>
      <c r="M4" s="59">
        <f>139341577</f>
        <v>139341577</v>
      </c>
      <c r="N4" s="59">
        <f>144011191</f>
        <v>144011191</v>
      </c>
      <c r="O4" s="59">
        <f>147555549</f>
        <v>147555549</v>
      </c>
      <c r="P4" s="59">
        <f>152098771</f>
        <v>152098771</v>
      </c>
      <c r="Q4" s="59">
        <f>156631734</f>
        <v>156631734</v>
      </c>
      <c r="R4" s="59">
        <f>161145054</f>
        <v>161145054</v>
      </c>
      <c r="S4" s="59">
        <f>165789261</f>
        <v>165789261</v>
      </c>
      <c r="T4" s="59">
        <f>170568150</f>
        <v>170568150</v>
      </c>
      <c r="U4" s="60"/>
    </row>
    <row r="5" spans="1:21" ht="17.25" customHeight="1">
      <c r="A5" s="61" t="s">
        <v>73</v>
      </c>
      <c r="B5" s="62" t="s">
        <v>74</v>
      </c>
      <c r="C5" s="63">
        <f>102101373.5</f>
        <v>102101373.5</v>
      </c>
      <c r="D5" s="64">
        <f>102891930.3</f>
        <v>102891930.3</v>
      </c>
      <c r="E5" s="64">
        <f>108245111</f>
        <v>108245111</v>
      </c>
      <c r="F5" s="65">
        <f>107100203.64</f>
        <v>107100203.64</v>
      </c>
      <c r="G5" s="66">
        <f>109359766</f>
        <v>109359766</v>
      </c>
      <c r="H5" s="67">
        <f>113538641</f>
        <v>113538641</v>
      </c>
      <c r="I5" s="67">
        <f>117966648</f>
        <v>117966648</v>
      </c>
      <c r="J5" s="67">
        <f>122685314</f>
        <v>122685314</v>
      </c>
      <c r="K5" s="67">
        <f>127592727</f>
        <v>127592727</v>
      </c>
      <c r="L5" s="67">
        <f>132441251</f>
        <v>132441251</v>
      </c>
      <c r="M5" s="67">
        <f>137341577</f>
        <v>137341577</v>
      </c>
      <c r="N5" s="67">
        <f>142011191</f>
        <v>142011191</v>
      </c>
      <c r="O5" s="67">
        <f>146555549</f>
        <v>146555549</v>
      </c>
      <c r="P5" s="67">
        <f>151098771</f>
        <v>151098771</v>
      </c>
      <c r="Q5" s="67">
        <f>155631734</f>
        <v>155631734</v>
      </c>
      <c r="R5" s="67">
        <f>160145054</f>
        <v>160145054</v>
      </c>
      <c r="S5" s="67">
        <f>164789261</f>
        <v>164789261</v>
      </c>
      <c r="T5" s="67">
        <f>169568150</f>
        <v>169568150</v>
      </c>
    </row>
    <row r="6" spans="1:21" ht="30.75" customHeight="1">
      <c r="A6" s="61" t="s">
        <v>75</v>
      </c>
      <c r="B6" s="62" t="s">
        <v>76</v>
      </c>
      <c r="C6" s="63">
        <f>29158389</f>
        <v>29158389</v>
      </c>
      <c r="D6" s="64">
        <f>31173468</f>
        <v>31173468</v>
      </c>
      <c r="E6" s="64">
        <f>33102213</f>
        <v>33102213</v>
      </c>
      <c r="F6" s="65">
        <f>33469606</f>
        <v>33469606</v>
      </c>
      <c r="G6" s="66">
        <f>35806412</f>
        <v>35806412</v>
      </c>
      <c r="H6" s="67">
        <f>37131249</f>
        <v>37131249</v>
      </c>
      <c r="I6" s="67">
        <f>38579368</f>
        <v>38579368</v>
      </c>
      <c r="J6" s="67">
        <f>40122543</f>
        <v>40122543</v>
      </c>
      <c r="K6" s="67">
        <f>41727445</f>
        <v>41727445</v>
      </c>
      <c r="L6" s="67">
        <f>43313088</f>
        <v>43313088</v>
      </c>
      <c r="M6" s="67">
        <f>44915672</f>
        <v>44915672</v>
      </c>
      <c r="N6" s="67">
        <f>46442805</f>
        <v>46442805</v>
      </c>
      <c r="O6" s="67">
        <f>47928975</f>
        <v>47928975</v>
      </c>
      <c r="P6" s="67">
        <f>49414773</f>
        <v>49414773</v>
      </c>
      <c r="Q6" s="67">
        <f>50897216</f>
        <v>50897216</v>
      </c>
      <c r="R6" s="67">
        <f>52373235</f>
        <v>52373235</v>
      </c>
      <c r="S6" s="67">
        <f>53892059</f>
        <v>53892059</v>
      </c>
      <c r="T6" s="67">
        <f>55454929</f>
        <v>55454929</v>
      </c>
    </row>
    <row r="7" spans="1:21" ht="30.75" customHeight="1">
      <c r="A7" s="61" t="s">
        <v>77</v>
      </c>
      <c r="B7" s="62" t="s">
        <v>78</v>
      </c>
      <c r="C7" s="63">
        <f>752614.88</f>
        <v>752614.88</v>
      </c>
      <c r="D7" s="64">
        <f>713648.66</f>
        <v>713648.66</v>
      </c>
      <c r="E7" s="64">
        <f>740000</f>
        <v>740000</v>
      </c>
      <c r="F7" s="65">
        <f>766855.31</f>
        <v>766855.31</v>
      </c>
      <c r="G7" s="66">
        <f>820000</f>
        <v>820000</v>
      </c>
      <c r="H7" s="67">
        <f>798490</f>
        <v>798490</v>
      </c>
      <c r="I7" s="67">
        <f>829631</f>
        <v>829631</v>
      </c>
      <c r="J7" s="67">
        <f>862816</f>
        <v>862816</v>
      </c>
      <c r="K7" s="67">
        <f>897329</f>
        <v>897329</v>
      </c>
      <c r="L7" s="67">
        <f>931428</f>
        <v>931428</v>
      </c>
      <c r="M7" s="67">
        <f>965891</f>
        <v>965891</v>
      </c>
      <c r="N7" s="67">
        <f>998731</f>
        <v>998731</v>
      </c>
      <c r="O7" s="67">
        <f>1030690</f>
        <v>1030690</v>
      </c>
      <c r="P7" s="67">
        <f>1062641</f>
        <v>1062641</v>
      </c>
      <c r="Q7" s="67">
        <f>1094520</f>
        <v>1094520</v>
      </c>
      <c r="R7" s="67">
        <f>1126261</f>
        <v>1126261</v>
      </c>
      <c r="S7" s="67">
        <f>1158923</f>
        <v>1158923</v>
      </c>
      <c r="T7" s="67">
        <f>1192532</f>
        <v>1192532</v>
      </c>
    </row>
    <row r="8" spans="1:21" ht="16.5" customHeight="1">
      <c r="A8" s="61" t="s">
        <v>79</v>
      </c>
      <c r="B8" s="62" t="s">
        <v>80</v>
      </c>
      <c r="C8" s="63">
        <f>3986980.11</f>
        <v>3986980.11</v>
      </c>
      <c r="D8" s="64">
        <f>3718997.07</f>
        <v>3718997.07</v>
      </c>
      <c r="E8" s="64">
        <f>4155300</f>
        <v>4155300</v>
      </c>
      <c r="F8" s="65">
        <f>3961887.72</f>
        <v>3961887.72</v>
      </c>
      <c r="G8" s="66">
        <f>4268308</f>
        <v>4268308</v>
      </c>
      <c r="H8" s="67">
        <f>4364015</f>
        <v>4364015</v>
      </c>
      <c r="I8" s="67">
        <f>4534212</f>
        <v>4534212</v>
      </c>
      <c r="J8" s="67">
        <f>4715580</f>
        <v>4715580</v>
      </c>
      <c r="K8" s="67">
        <f>4904203</f>
        <v>4904203</v>
      </c>
      <c r="L8" s="67">
        <f>5090563</f>
        <v>5090563</v>
      </c>
      <c r="M8" s="67">
        <f>5278914</f>
        <v>5278914</v>
      </c>
      <c r="N8" s="67">
        <f>5458397</f>
        <v>5458397</v>
      </c>
      <c r="O8" s="67">
        <f>5633066</f>
        <v>5633066</v>
      </c>
      <c r="P8" s="67">
        <f>5807691</f>
        <v>5807691</v>
      </c>
      <c r="Q8" s="67">
        <f>5981922</f>
        <v>5981922</v>
      </c>
      <c r="R8" s="67">
        <f>6155398</f>
        <v>6155398</v>
      </c>
      <c r="S8" s="67">
        <f>6333905</f>
        <v>6333905</v>
      </c>
      <c r="T8" s="67">
        <f>6517588</f>
        <v>6517588</v>
      </c>
    </row>
    <row r="9" spans="1:21" ht="16.5" customHeight="1">
      <c r="A9" s="61" t="s">
        <v>81</v>
      </c>
      <c r="B9" s="62" t="s">
        <v>82</v>
      </c>
      <c r="C9" s="63">
        <f>0</f>
        <v>0</v>
      </c>
      <c r="D9" s="64">
        <f>0</f>
        <v>0</v>
      </c>
      <c r="E9" s="64">
        <f>0</f>
        <v>0</v>
      </c>
      <c r="F9" s="65">
        <f>0</f>
        <v>0</v>
      </c>
      <c r="G9" s="66">
        <f>0</f>
        <v>0</v>
      </c>
      <c r="H9" s="67">
        <f>0</f>
        <v>0</v>
      </c>
      <c r="I9" s="67">
        <f>0</f>
        <v>0</v>
      </c>
      <c r="J9" s="67">
        <f>0</f>
        <v>0</v>
      </c>
      <c r="K9" s="67">
        <f>0</f>
        <v>0</v>
      </c>
      <c r="L9" s="67">
        <f>0</f>
        <v>0</v>
      </c>
      <c r="M9" s="67">
        <f>0</f>
        <v>0</v>
      </c>
      <c r="N9" s="67">
        <f>0</f>
        <v>0</v>
      </c>
      <c r="O9" s="67">
        <f>0</f>
        <v>0</v>
      </c>
      <c r="P9" s="67">
        <f>0</f>
        <v>0</v>
      </c>
      <c r="Q9" s="67">
        <f>0</f>
        <v>0</v>
      </c>
      <c r="R9" s="67">
        <f>0</f>
        <v>0</v>
      </c>
      <c r="S9" s="67">
        <f>0</f>
        <v>0</v>
      </c>
      <c r="T9" s="67">
        <f>0</f>
        <v>0</v>
      </c>
    </row>
    <row r="10" spans="1:21" ht="16.5" customHeight="1">
      <c r="A10" s="61" t="s">
        <v>83</v>
      </c>
      <c r="B10" s="62" t="s">
        <v>84</v>
      </c>
      <c r="C10" s="63">
        <f>42822131</f>
        <v>42822131</v>
      </c>
      <c r="D10" s="64">
        <f>44319570</f>
        <v>44319570</v>
      </c>
      <c r="E10" s="64">
        <f>45905481</f>
        <v>45905481</v>
      </c>
      <c r="F10" s="65">
        <f>45953165</f>
        <v>45953165</v>
      </c>
      <c r="G10" s="66">
        <f>45902892</f>
        <v>45902892</v>
      </c>
      <c r="H10" s="67">
        <f>47358826</f>
        <v>47358826</v>
      </c>
      <c r="I10" s="67">
        <f>49205820</f>
        <v>49205820</v>
      </c>
      <c r="J10" s="67">
        <f>51174053</f>
        <v>51174053</v>
      </c>
      <c r="K10" s="67">
        <f>53221015</f>
        <v>53221015</v>
      </c>
      <c r="L10" s="67">
        <f>55243414</f>
        <v>55243414</v>
      </c>
      <c r="M10" s="67">
        <f>57287420</f>
        <v>57287420</v>
      </c>
      <c r="N10" s="67">
        <f>59235192</f>
        <v>59235192</v>
      </c>
      <c r="O10" s="67">
        <f>61130718</f>
        <v>61130718</v>
      </c>
      <c r="P10" s="67">
        <f>63025770</f>
        <v>63025770</v>
      </c>
      <c r="Q10" s="67">
        <f>64916543</f>
        <v>64916543</v>
      </c>
      <c r="R10" s="67">
        <f>66799123</f>
        <v>66799123</v>
      </c>
      <c r="S10" s="67">
        <f>68736298</f>
        <v>68736298</v>
      </c>
      <c r="T10" s="67">
        <f>70729651</f>
        <v>70729651</v>
      </c>
    </row>
    <row r="11" spans="1:21" ht="27" customHeight="1">
      <c r="A11" s="61" t="s">
        <v>85</v>
      </c>
      <c r="B11" s="62" t="s">
        <v>86</v>
      </c>
      <c r="C11" s="63">
        <f>19731324.96</f>
        <v>19731324.960000001</v>
      </c>
      <c r="D11" s="64">
        <f>17087095.29</f>
        <v>17087095.289999999</v>
      </c>
      <c r="E11" s="64">
        <f>16064049</f>
        <v>16064049</v>
      </c>
      <c r="F11" s="65">
        <f>16129500.75</f>
        <v>16129500.75</v>
      </c>
      <c r="G11" s="66">
        <f>15632845</f>
        <v>15632845</v>
      </c>
      <c r="H11" s="67">
        <f>15631310</f>
        <v>15631310</v>
      </c>
      <c r="I11" s="67">
        <f>16240931</f>
        <v>16240931</v>
      </c>
      <c r="J11" s="67">
        <f>16890568</f>
        <v>16890568</v>
      </c>
      <c r="K11" s="67">
        <f>17566191</f>
        <v>17566191</v>
      </c>
      <c r="L11" s="67">
        <f>18233706</f>
        <v>18233706</v>
      </c>
      <c r="M11" s="67">
        <f>18908353</f>
        <v>18908353</v>
      </c>
      <c r="N11" s="67">
        <f>19551237</f>
        <v>19551237</v>
      </c>
      <c r="O11" s="67">
        <f>20176877</f>
        <v>20176877</v>
      </c>
      <c r="P11" s="67">
        <f>20802360</f>
        <v>20802360</v>
      </c>
      <c r="Q11" s="67">
        <f>21426431</f>
        <v>21426431</v>
      </c>
      <c r="R11" s="67">
        <f>22047797</f>
        <v>22047797</v>
      </c>
      <c r="S11" s="67">
        <f>22687183</f>
        <v>22687183</v>
      </c>
      <c r="T11" s="67">
        <f>23345111</f>
        <v>23345111</v>
      </c>
    </row>
    <row r="12" spans="1:21" ht="17.25" customHeight="1">
      <c r="A12" s="61" t="s">
        <v>87</v>
      </c>
      <c r="B12" s="62" t="s">
        <v>88</v>
      </c>
      <c r="C12" s="63">
        <f>3436170.28</f>
        <v>3436170.28</v>
      </c>
      <c r="D12" s="64">
        <f>11366669.37</f>
        <v>11366669.369999999</v>
      </c>
      <c r="E12" s="64">
        <f>13993610</f>
        <v>13993610</v>
      </c>
      <c r="F12" s="65">
        <f>1973331.14</f>
        <v>1973331.14</v>
      </c>
      <c r="G12" s="66">
        <f>3420528</f>
        <v>3420528</v>
      </c>
      <c r="H12" s="67">
        <f>6000000</f>
        <v>6000000</v>
      </c>
      <c r="I12" s="67">
        <f>4500000</f>
        <v>4500000</v>
      </c>
      <c r="J12" s="67">
        <f>3000000</f>
        <v>3000000</v>
      </c>
      <c r="K12" s="67">
        <f>2500000</f>
        <v>2500000</v>
      </c>
      <c r="L12" s="67">
        <f>2000000</f>
        <v>2000000</v>
      </c>
      <c r="M12" s="67">
        <f>2000000</f>
        <v>2000000</v>
      </c>
      <c r="N12" s="67">
        <f>2000000</f>
        <v>2000000</v>
      </c>
      <c r="O12" s="67">
        <f t="shared" ref="O12:T12" si="1">1000000</f>
        <v>1000000</v>
      </c>
      <c r="P12" s="67">
        <f t="shared" si="1"/>
        <v>1000000</v>
      </c>
      <c r="Q12" s="67">
        <f t="shared" si="1"/>
        <v>1000000</v>
      </c>
      <c r="R12" s="67">
        <f t="shared" si="1"/>
        <v>1000000</v>
      </c>
      <c r="S12" s="67">
        <f t="shared" si="1"/>
        <v>1000000</v>
      </c>
      <c r="T12" s="67">
        <f t="shared" si="1"/>
        <v>1000000</v>
      </c>
    </row>
    <row r="13" spans="1:21" ht="17.25" customHeight="1">
      <c r="A13" s="61" t="s">
        <v>46</v>
      </c>
      <c r="B13" s="62" t="s">
        <v>89</v>
      </c>
      <c r="C13" s="63">
        <f>2256832.69</f>
        <v>2256832.69</v>
      </c>
      <c r="D13" s="64">
        <f>9117277.01</f>
        <v>9117277.0099999998</v>
      </c>
      <c r="E13" s="64">
        <f>9637000</f>
        <v>9637000</v>
      </c>
      <c r="F13" s="65">
        <f>263195.83</f>
        <v>263195.83</v>
      </c>
      <c r="G13" s="66">
        <f>1212424</f>
        <v>1212424</v>
      </c>
      <c r="H13" s="67">
        <f>3000000</f>
        <v>3000000</v>
      </c>
      <c r="I13" s="67">
        <f>2000000</f>
        <v>2000000</v>
      </c>
      <c r="J13" s="67">
        <f>1000000</f>
        <v>1000000</v>
      </c>
      <c r="K13" s="67">
        <f>500000</f>
        <v>500000</v>
      </c>
      <c r="L13" s="67">
        <f>300000</f>
        <v>300000</v>
      </c>
      <c r="M13" s="67">
        <f>300000</f>
        <v>300000</v>
      </c>
      <c r="N13" s="67">
        <f>300000</f>
        <v>300000</v>
      </c>
      <c r="O13" s="67">
        <f t="shared" ref="O13:T13" si="2">100000</f>
        <v>100000</v>
      </c>
      <c r="P13" s="67">
        <f t="shared" si="2"/>
        <v>100000</v>
      </c>
      <c r="Q13" s="67">
        <f t="shared" si="2"/>
        <v>100000</v>
      </c>
      <c r="R13" s="67">
        <f t="shared" si="2"/>
        <v>100000</v>
      </c>
      <c r="S13" s="67">
        <f t="shared" si="2"/>
        <v>100000</v>
      </c>
      <c r="T13" s="67">
        <f t="shared" si="2"/>
        <v>100000</v>
      </c>
    </row>
    <row r="14" spans="1:21" ht="29.25" customHeight="1">
      <c r="A14" s="61" t="s">
        <v>47</v>
      </c>
      <c r="B14" s="62" t="s">
        <v>90</v>
      </c>
      <c r="C14" s="63">
        <f>1152237.72</f>
        <v>1152237.72</v>
      </c>
      <c r="D14" s="64">
        <f>2246085</f>
        <v>2246085</v>
      </c>
      <c r="E14" s="64">
        <f>4256700</f>
        <v>4256700</v>
      </c>
      <c r="F14" s="65">
        <f>1606333</f>
        <v>1606333</v>
      </c>
      <c r="G14" s="66">
        <f>2200078</f>
        <v>2200078</v>
      </c>
      <c r="H14" s="67">
        <f>3000000</f>
        <v>3000000</v>
      </c>
      <c r="I14" s="67">
        <f>2500000</f>
        <v>2500000</v>
      </c>
      <c r="J14" s="67">
        <f>2000000</f>
        <v>2000000</v>
      </c>
      <c r="K14" s="67">
        <f>2000000</f>
        <v>2000000</v>
      </c>
      <c r="L14" s="67">
        <f>1700000</f>
        <v>1700000</v>
      </c>
      <c r="M14" s="67">
        <f>1700000</f>
        <v>1700000</v>
      </c>
      <c r="N14" s="67">
        <f>1700000</f>
        <v>1700000</v>
      </c>
      <c r="O14" s="67">
        <f t="shared" ref="O14:T14" si="3">900000</f>
        <v>900000</v>
      </c>
      <c r="P14" s="67">
        <f t="shared" si="3"/>
        <v>900000</v>
      </c>
      <c r="Q14" s="67">
        <f t="shared" si="3"/>
        <v>900000</v>
      </c>
      <c r="R14" s="67">
        <f t="shared" si="3"/>
        <v>900000</v>
      </c>
      <c r="S14" s="67">
        <f t="shared" si="3"/>
        <v>900000</v>
      </c>
      <c r="T14" s="67">
        <f t="shared" si="3"/>
        <v>900000</v>
      </c>
    </row>
    <row r="15" spans="1:21" ht="17.25" customHeight="1">
      <c r="A15" s="53">
        <v>2</v>
      </c>
      <c r="B15" s="54" t="s">
        <v>91</v>
      </c>
      <c r="C15" s="55">
        <f>103146096.72</f>
        <v>103146096.72</v>
      </c>
      <c r="D15" s="56">
        <f>129424182.6</f>
        <v>129424182.59999999</v>
      </c>
      <c r="E15" s="56">
        <f>115387689</f>
        <v>115387689</v>
      </c>
      <c r="F15" s="57">
        <f>104368163.09</f>
        <v>104368163.09</v>
      </c>
      <c r="G15" s="58">
        <f>114601833</f>
        <v>114601833</v>
      </c>
      <c r="H15" s="59">
        <f>112309318</f>
        <v>112309318</v>
      </c>
      <c r="I15" s="59">
        <f>115809372</f>
        <v>115809372</v>
      </c>
      <c r="J15" s="59">
        <f>119194385</f>
        <v>119194385</v>
      </c>
      <c r="K15" s="59">
        <f>124784451</f>
        <v>124784451</v>
      </c>
      <c r="L15" s="59">
        <f>130106639</f>
        <v>130106639</v>
      </c>
      <c r="M15" s="59">
        <f>135891577</f>
        <v>135891577</v>
      </c>
      <c r="N15" s="59">
        <f>140661191</f>
        <v>140661191</v>
      </c>
      <c r="O15" s="59">
        <f>145055549</f>
        <v>145055549</v>
      </c>
      <c r="P15" s="59">
        <f>149598771</f>
        <v>149598771</v>
      </c>
      <c r="Q15" s="59">
        <f>154131734</f>
        <v>154131734</v>
      </c>
      <c r="R15" s="59">
        <f>159645054</f>
        <v>159645054</v>
      </c>
      <c r="S15" s="59">
        <f>164289261</f>
        <v>164289261</v>
      </c>
      <c r="T15" s="59">
        <f>169068150</f>
        <v>169068150</v>
      </c>
      <c r="U15" s="60"/>
    </row>
    <row r="16" spans="1:21" ht="17.25" customHeight="1">
      <c r="A16" s="61" t="s">
        <v>92</v>
      </c>
      <c r="B16" s="62" t="s">
        <v>93</v>
      </c>
      <c r="C16" s="63">
        <f>98182288.1</f>
        <v>98182288.099999994</v>
      </c>
      <c r="D16" s="64">
        <f>123444031.94</f>
        <v>123444031.94</v>
      </c>
      <c r="E16" s="64">
        <f>101902936</f>
        <v>101902936</v>
      </c>
      <c r="F16" s="65">
        <f>96876666.03</f>
        <v>96876666.030000001</v>
      </c>
      <c r="G16" s="66">
        <f>107649050</f>
        <v>107649050</v>
      </c>
      <c r="H16" s="67">
        <f>108281643</f>
        <v>108281643</v>
      </c>
      <c r="I16" s="67">
        <f>110530972</f>
        <v>110530972</v>
      </c>
      <c r="J16" s="67">
        <f>113264977</f>
        <v>113264977</v>
      </c>
      <c r="K16" s="67">
        <f>118355238</f>
        <v>118355238</v>
      </c>
      <c r="L16" s="67">
        <f>121006865</f>
        <v>121006865</v>
      </c>
      <c r="M16" s="67">
        <f>123724608</f>
        <v>123724608</v>
      </c>
      <c r="N16" s="67">
        <f>125855292</f>
        <v>125855292</v>
      </c>
      <c r="O16" s="67">
        <f>128586817</f>
        <v>128586817</v>
      </c>
      <c r="P16" s="67">
        <f>128983540</f>
        <v>128983540</v>
      </c>
      <c r="Q16" s="67">
        <f>131950161</f>
        <v>131950161</v>
      </c>
      <c r="R16" s="67">
        <f>134985015</f>
        <v>134985015</v>
      </c>
      <c r="S16" s="67">
        <f>138089670</f>
        <v>138089670</v>
      </c>
      <c r="T16" s="67">
        <f>141127643</f>
        <v>141127643</v>
      </c>
    </row>
    <row r="17" spans="1:21" ht="17.25" customHeight="1">
      <c r="A17" s="61" t="s">
        <v>94</v>
      </c>
      <c r="B17" s="62" t="s">
        <v>95</v>
      </c>
      <c r="C17" s="63">
        <f>520070.87</f>
        <v>520070.87</v>
      </c>
      <c r="D17" s="64">
        <f>0</f>
        <v>0</v>
      </c>
      <c r="E17" s="64">
        <f>0</f>
        <v>0</v>
      </c>
      <c r="F17" s="65">
        <f>0</f>
        <v>0</v>
      </c>
      <c r="G17" s="66">
        <f>258000</f>
        <v>258000</v>
      </c>
      <c r="H17" s="67">
        <f>516000</f>
        <v>516000</v>
      </c>
      <c r="I17" s="67">
        <f>516000</f>
        <v>516000</v>
      </c>
      <c r="J17" s="67">
        <f>516000</f>
        <v>516000</v>
      </c>
      <c r="K17" s="67">
        <f>2916000</f>
        <v>2916000</v>
      </c>
      <c r="L17" s="67">
        <f>2812800</f>
        <v>2812800</v>
      </c>
      <c r="M17" s="67">
        <f>2709600</f>
        <v>2709600</v>
      </c>
      <c r="N17" s="67">
        <f>2606400</f>
        <v>2606400</v>
      </c>
      <c r="O17" s="67">
        <f>2503200</f>
        <v>2503200</v>
      </c>
      <c r="P17" s="67">
        <f>0</f>
        <v>0</v>
      </c>
      <c r="Q17" s="67">
        <f>0</f>
        <v>0</v>
      </c>
      <c r="R17" s="67">
        <f>0</f>
        <v>0</v>
      </c>
      <c r="S17" s="67">
        <f>0</f>
        <v>0</v>
      </c>
      <c r="T17" s="67">
        <f>0</f>
        <v>0</v>
      </c>
    </row>
    <row r="18" spans="1:21" ht="39.75" customHeight="1">
      <c r="A18" s="61" t="s">
        <v>96</v>
      </c>
      <c r="B18" s="62" t="s">
        <v>97</v>
      </c>
      <c r="C18" s="63">
        <f>0</f>
        <v>0</v>
      </c>
      <c r="D18" s="64">
        <f>0</f>
        <v>0</v>
      </c>
      <c r="E18" s="64">
        <f>0</f>
        <v>0</v>
      </c>
      <c r="F18" s="65">
        <f>0</f>
        <v>0</v>
      </c>
      <c r="G18" s="66">
        <f>0</f>
        <v>0</v>
      </c>
      <c r="H18" s="67">
        <f>0</f>
        <v>0</v>
      </c>
      <c r="I18" s="67">
        <f>0</f>
        <v>0</v>
      </c>
      <c r="J18" s="67">
        <f>0</f>
        <v>0</v>
      </c>
      <c r="K18" s="67">
        <f>0</f>
        <v>0</v>
      </c>
      <c r="L18" s="67">
        <f>0</f>
        <v>0</v>
      </c>
      <c r="M18" s="67">
        <f>0</f>
        <v>0</v>
      </c>
      <c r="N18" s="67">
        <f>0</f>
        <v>0</v>
      </c>
      <c r="O18" s="67">
        <f>0</f>
        <v>0</v>
      </c>
      <c r="P18" s="67">
        <f>0</f>
        <v>0</v>
      </c>
      <c r="Q18" s="67">
        <f>0</f>
        <v>0</v>
      </c>
      <c r="R18" s="67">
        <f>0</f>
        <v>0</v>
      </c>
      <c r="S18" s="67">
        <f>0</f>
        <v>0</v>
      </c>
      <c r="T18" s="67">
        <f>0</f>
        <v>0</v>
      </c>
    </row>
    <row r="19" spans="1:21" ht="89.25" customHeight="1">
      <c r="A19" s="61" t="s">
        <v>98</v>
      </c>
      <c r="B19" s="62" t="s">
        <v>99</v>
      </c>
      <c r="C19" s="63">
        <f>0</f>
        <v>0</v>
      </c>
      <c r="D19" s="64">
        <f>26272807.64</f>
        <v>26272807.640000001</v>
      </c>
      <c r="E19" s="64">
        <f>1050926</f>
        <v>1050926</v>
      </c>
      <c r="F19" s="65">
        <f>1050926.47</f>
        <v>1050926.47</v>
      </c>
      <c r="G19" s="66">
        <f>2233505</f>
        <v>2233505</v>
      </c>
      <c r="H19" s="67">
        <f>0</f>
        <v>0</v>
      </c>
      <c r="I19" s="67">
        <f>0</f>
        <v>0</v>
      </c>
      <c r="J19" s="67">
        <f>0</f>
        <v>0</v>
      </c>
      <c r="K19" s="67">
        <f>0</f>
        <v>0</v>
      </c>
      <c r="L19" s="67">
        <f>0</f>
        <v>0</v>
      </c>
      <c r="M19" s="67">
        <f>0</f>
        <v>0</v>
      </c>
      <c r="N19" s="67">
        <f>0</f>
        <v>0</v>
      </c>
      <c r="O19" s="67">
        <f>0</f>
        <v>0</v>
      </c>
      <c r="P19" s="67">
        <f>0</f>
        <v>0</v>
      </c>
      <c r="Q19" s="67">
        <f>0</f>
        <v>0</v>
      </c>
      <c r="R19" s="67">
        <f>0</f>
        <v>0</v>
      </c>
      <c r="S19" s="67">
        <f>0</f>
        <v>0</v>
      </c>
      <c r="T19" s="67">
        <f>0</f>
        <v>0</v>
      </c>
    </row>
    <row r="20" spans="1:21" ht="16.5" customHeight="1">
      <c r="A20" s="61" t="s">
        <v>100</v>
      </c>
      <c r="B20" s="62" t="s">
        <v>101</v>
      </c>
      <c r="C20" s="63">
        <f>2135630.5</f>
        <v>2135630.5</v>
      </c>
      <c r="D20" s="64">
        <f>1988239.37</f>
        <v>1988239.37</v>
      </c>
      <c r="E20" s="64">
        <f>2130000</f>
        <v>2130000</v>
      </c>
      <c r="F20" s="65">
        <f>1898918.19</f>
        <v>1898918.19</v>
      </c>
      <c r="G20" s="66">
        <f>1584150</f>
        <v>1584150</v>
      </c>
      <c r="H20" s="67">
        <f>1700000</f>
        <v>1700000</v>
      </c>
      <c r="I20" s="67">
        <f>1500000</f>
        <v>1500000</v>
      </c>
      <c r="J20" s="67">
        <f>1200000</f>
        <v>1200000</v>
      </c>
      <c r="K20" s="67">
        <f>1000000</f>
        <v>1000000</v>
      </c>
      <c r="L20" s="67">
        <f>800000</f>
        <v>800000</v>
      </c>
      <c r="M20" s="67">
        <f>700000</f>
        <v>700000</v>
      </c>
      <c r="N20" s="67">
        <f>600000</f>
        <v>600000</v>
      </c>
      <c r="O20" s="67">
        <f>500000</f>
        <v>500000</v>
      </c>
      <c r="P20" s="67">
        <f>400000</f>
        <v>400000</v>
      </c>
      <c r="Q20" s="67">
        <f>300000</f>
        <v>300000</v>
      </c>
      <c r="R20" s="67">
        <f>200000</f>
        <v>200000</v>
      </c>
      <c r="S20" s="67">
        <f>150000</f>
        <v>150000</v>
      </c>
      <c r="T20" s="67">
        <f>50000</f>
        <v>50000</v>
      </c>
    </row>
    <row r="21" spans="1:21" ht="30" customHeight="1">
      <c r="A21" s="61" t="s">
        <v>102</v>
      </c>
      <c r="B21" s="62" t="s">
        <v>103</v>
      </c>
      <c r="C21" s="63">
        <f>2135630.5</f>
        <v>2135630.5</v>
      </c>
      <c r="D21" s="64">
        <f>1988239.37</f>
        <v>1988239.37</v>
      </c>
      <c r="E21" s="64">
        <f>2130000</f>
        <v>2130000</v>
      </c>
      <c r="F21" s="65">
        <f>1898918.19</f>
        <v>1898918.19</v>
      </c>
      <c r="G21" s="66">
        <f>1584150</f>
        <v>1584150</v>
      </c>
      <c r="H21" s="67">
        <f>1700000</f>
        <v>1700000</v>
      </c>
      <c r="I21" s="67">
        <f>1500000</f>
        <v>1500000</v>
      </c>
      <c r="J21" s="67">
        <f>1200000</f>
        <v>1200000</v>
      </c>
      <c r="K21" s="67">
        <f>1000000</f>
        <v>1000000</v>
      </c>
      <c r="L21" s="67">
        <f>800000</f>
        <v>800000</v>
      </c>
      <c r="M21" s="67">
        <f>700000</f>
        <v>700000</v>
      </c>
      <c r="N21" s="67">
        <f>600000</f>
        <v>600000</v>
      </c>
      <c r="O21" s="67">
        <f>500000</f>
        <v>500000</v>
      </c>
      <c r="P21" s="67">
        <f>400000</f>
        <v>400000</v>
      </c>
      <c r="Q21" s="67">
        <f>300000</f>
        <v>300000</v>
      </c>
      <c r="R21" s="67">
        <f>200000</f>
        <v>200000</v>
      </c>
      <c r="S21" s="67">
        <f>150000</f>
        <v>150000</v>
      </c>
      <c r="T21" s="67">
        <f>50000</f>
        <v>50000</v>
      </c>
    </row>
    <row r="22" spans="1:21" ht="93.75" customHeight="1">
      <c r="A22" s="61" t="s">
        <v>104</v>
      </c>
      <c r="B22" s="62" t="s">
        <v>105</v>
      </c>
      <c r="C22" s="63">
        <f>0</f>
        <v>0</v>
      </c>
      <c r="D22" s="64">
        <f>0</f>
        <v>0</v>
      </c>
      <c r="E22" s="64">
        <f>0</f>
        <v>0</v>
      </c>
      <c r="F22" s="65">
        <f>0</f>
        <v>0</v>
      </c>
      <c r="G22" s="66">
        <f>0</f>
        <v>0</v>
      </c>
      <c r="H22" s="67">
        <f>0</f>
        <v>0</v>
      </c>
      <c r="I22" s="67">
        <f>0</f>
        <v>0</v>
      </c>
      <c r="J22" s="67">
        <f>0</f>
        <v>0</v>
      </c>
      <c r="K22" s="67">
        <f>0</f>
        <v>0</v>
      </c>
      <c r="L22" s="67">
        <f>0</f>
        <v>0</v>
      </c>
      <c r="M22" s="67">
        <f>0</f>
        <v>0</v>
      </c>
      <c r="N22" s="67">
        <f>0</f>
        <v>0</v>
      </c>
      <c r="O22" s="67">
        <f>0</f>
        <v>0</v>
      </c>
      <c r="P22" s="67">
        <f>0</f>
        <v>0</v>
      </c>
      <c r="Q22" s="67">
        <f>0</f>
        <v>0</v>
      </c>
      <c r="R22" s="67">
        <f>0</f>
        <v>0</v>
      </c>
      <c r="S22" s="67">
        <f>0</f>
        <v>0</v>
      </c>
      <c r="T22" s="67">
        <f>0</f>
        <v>0</v>
      </c>
    </row>
    <row r="23" spans="1:21" ht="60" customHeight="1">
      <c r="A23" s="61" t="s">
        <v>106</v>
      </c>
      <c r="B23" s="62" t="s">
        <v>107</v>
      </c>
      <c r="C23" s="63">
        <f>0</f>
        <v>0</v>
      </c>
      <c r="D23" s="64">
        <f>0</f>
        <v>0</v>
      </c>
      <c r="E23" s="64">
        <f>0</f>
        <v>0</v>
      </c>
      <c r="F23" s="65">
        <f>0</f>
        <v>0</v>
      </c>
      <c r="G23" s="66">
        <f>0</f>
        <v>0</v>
      </c>
      <c r="H23" s="67">
        <f>0</f>
        <v>0</v>
      </c>
      <c r="I23" s="67">
        <f>0</f>
        <v>0</v>
      </c>
      <c r="J23" s="67">
        <f>0</f>
        <v>0</v>
      </c>
      <c r="K23" s="67">
        <f>0</f>
        <v>0</v>
      </c>
      <c r="L23" s="67">
        <f>0</f>
        <v>0</v>
      </c>
      <c r="M23" s="67">
        <f>0</f>
        <v>0</v>
      </c>
      <c r="N23" s="67">
        <f>0</f>
        <v>0</v>
      </c>
      <c r="O23" s="67">
        <f>0</f>
        <v>0</v>
      </c>
      <c r="P23" s="67">
        <f>0</f>
        <v>0</v>
      </c>
      <c r="Q23" s="67">
        <f>0</f>
        <v>0</v>
      </c>
      <c r="R23" s="67">
        <f>0</f>
        <v>0</v>
      </c>
      <c r="S23" s="67">
        <f>0</f>
        <v>0</v>
      </c>
      <c r="T23" s="67">
        <f>0</f>
        <v>0</v>
      </c>
    </row>
    <row r="24" spans="1:21" ht="16.5" customHeight="1">
      <c r="A24" s="61" t="s">
        <v>108</v>
      </c>
      <c r="B24" s="62" t="s">
        <v>109</v>
      </c>
      <c r="C24" s="63">
        <f>4963808.62</f>
        <v>4963808.62</v>
      </c>
      <c r="D24" s="64">
        <f>5980150.66</f>
        <v>5980150.6600000001</v>
      </c>
      <c r="E24" s="64">
        <f>13484753</f>
        <v>13484753</v>
      </c>
      <c r="F24" s="65">
        <f>7491497.06</f>
        <v>7491497.0599999996</v>
      </c>
      <c r="G24" s="66">
        <f>6952783</f>
        <v>6952783</v>
      </c>
      <c r="H24" s="67">
        <f>4027675</f>
        <v>4027675</v>
      </c>
      <c r="I24" s="67">
        <f>5278400</f>
        <v>5278400</v>
      </c>
      <c r="J24" s="67">
        <f>5929408</f>
        <v>5929408</v>
      </c>
      <c r="K24" s="67">
        <f>6429213</f>
        <v>6429213</v>
      </c>
      <c r="L24" s="67">
        <f>9099774</f>
        <v>9099774</v>
      </c>
      <c r="M24" s="67">
        <f>12166969</f>
        <v>12166969</v>
      </c>
      <c r="N24" s="67">
        <f>14805899</f>
        <v>14805899</v>
      </c>
      <c r="O24" s="67">
        <f>16468732</f>
        <v>16468732</v>
      </c>
      <c r="P24" s="67">
        <f>20615231</f>
        <v>20615231</v>
      </c>
      <c r="Q24" s="67">
        <f>22181573</f>
        <v>22181573</v>
      </c>
      <c r="R24" s="67">
        <f>24660039</f>
        <v>24660039</v>
      </c>
      <c r="S24" s="67">
        <f>26199591</f>
        <v>26199591</v>
      </c>
      <c r="T24" s="67">
        <f>27940507</f>
        <v>27940507</v>
      </c>
    </row>
    <row r="25" spans="1:21" ht="16.5" customHeight="1">
      <c r="A25" s="53">
        <v>3</v>
      </c>
      <c r="B25" s="54" t="s">
        <v>110</v>
      </c>
      <c r="C25" s="55">
        <f>2391447.06</f>
        <v>2391447.06</v>
      </c>
      <c r="D25" s="56">
        <f>-15165582.93</f>
        <v>-15165582.93</v>
      </c>
      <c r="E25" s="56">
        <f>6851032</f>
        <v>6851032</v>
      </c>
      <c r="F25" s="57">
        <f>4705371.69</f>
        <v>4705371.6900000004</v>
      </c>
      <c r="G25" s="58">
        <f>-1821539</f>
        <v>-1821539</v>
      </c>
      <c r="H25" s="59">
        <f>7229323</f>
        <v>7229323</v>
      </c>
      <c r="I25" s="59">
        <f>6657276</f>
        <v>6657276</v>
      </c>
      <c r="J25" s="59">
        <f>6490929</f>
        <v>6490929</v>
      </c>
      <c r="K25" s="59">
        <f>5308276</f>
        <v>5308276</v>
      </c>
      <c r="L25" s="59">
        <f>4334612</f>
        <v>4334612</v>
      </c>
      <c r="M25" s="59">
        <f>3450000</f>
        <v>3450000</v>
      </c>
      <c r="N25" s="59">
        <f>3350000</f>
        <v>3350000</v>
      </c>
      <c r="O25" s="59">
        <f>2500000</f>
        <v>2500000</v>
      </c>
      <c r="P25" s="59">
        <f>2500000</f>
        <v>2500000</v>
      </c>
      <c r="Q25" s="59">
        <f>2500000</f>
        <v>2500000</v>
      </c>
      <c r="R25" s="59">
        <f>1500000</f>
        <v>1500000</v>
      </c>
      <c r="S25" s="59">
        <f>1500000</f>
        <v>1500000</v>
      </c>
      <c r="T25" s="59">
        <f>1500000</f>
        <v>1500000</v>
      </c>
      <c r="U25" s="60"/>
    </row>
    <row r="26" spans="1:21" ht="16.5" customHeight="1">
      <c r="A26" s="53">
        <v>4</v>
      </c>
      <c r="B26" s="54" t="s">
        <v>111</v>
      </c>
      <c r="C26" s="55">
        <f>4604209.07</f>
        <v>4604209.07</v>
      </c>
      <c r="D26" s="56">
        <f>27033687.38</f>
        <v>27033687.379999999</v>
      </c>
      <c r="E26" s="56">
        <f>200000</f>
        <v>200000</v>
      </c>
      <c r="F26" s="57">
        <f>5622331.57</f>
        <v>5622331.5700000003</v>
      </c>
      <c r="G26" s="58">
        <f>9078720</f>
        <v>9078720</v>
      </c>
      <c r="H26" s="59">
        <f>0</f>
        <v>0</v>
      </c>
      <c r="I26" s="59">
        <f>0</f>
        <v>0</v>
      </c>
      <c r="J26" s="59">
        <f>0</f>
        <v>0</v>
      </c>
      <c r="K26" s="59">
        <f>0</f>
        <v>0</v>
      </c>
      <c r="L26" s="59">
        <f>0</f>
        <v>0</v>
      </c>
      <c r="M26" s="59">
        <f>0</f>
        <v>0</v>
      </c>
      <c r="N26" s="59">
        <f>0</f>
        <v>0</v>
      </c>
      <c r="O26" s="59">
        <f>0</f>
        <v>0</v>
      </c>
      <c r="P26" s="59">
        <f>0</f>
        <v>0</v>
      </c>
      <c r="Q26" s="59">
        <f>0</f>
        <v>0</v>
      </c>
      <c r="R26" s="59">
        <f>0</f>
        <v>0</v>
      </c>
      <c r="S26" s="59">
        <f>0</f>
        <v>0</v>
      </c>
      <c r="T26" s="59">
        <f>0</f>
        <v>0</v>
      </c>
      <c r="U26" s="60"/>
    </row>
    <row r="27" spans="1:21" ht="16.5" customHeight="1">
      <c r="A27" s="61" t="s">
        <v>112</v>
      </c>
      <c r="B27" s="62" t="s">
        <v>113</v>
      </c>
      <c r="C27" s="63">
        <f>0</f>
        <v>0</v>
      </c>
      <c r="D27" s="64">
        <f>0</f>
        <v>0</v>
      </c>
      <c r="E27" s="64">
        <f>0</f>
        <v>0</v>
      </c>
      <c r="F27" s="65">
        <f>0</f>
        <v>0</v>
      </c>
      <c r="G27" s="66">
        <f>0</f>
        <v>0</v>
      </c>
      <c r="H27" s="67">
        <f>0</f>
        <v>0</v>
      </c>
      <c r="I27" s="67">
        <f>0</f>
        <v>0</v>
      </c>
      <c r="J27" s="67">
        <f>0</f>
        <v>0</v>
      </c>
      <c r="K27" s="67">
        <f>0</f>
        <v>0</v>
      </c>
      <c r="L27" s="67">
        <f>0</f>
        <v>0</v>
      </c>
      <c r="M27" s="67">
        <f>0</f>
        <v>0</v>
      </c>
      <c r="N27" s="67">
        <f>0</f>
        <v>0</v>
      </c>
      <c r="O27" s="67">
        <f>0</f>
        <v>0</v>
      </c>
      <c r="P27" s="67">
        <f>0</f>
        <v>0</v>
      </c>
      <c r="Q27" s="67">
        <f>0</f>
        <v>0</v>
      </c>
      <c r="R27" s="67">
        <f>0</f>
        <v>0</v>
      </c>
      <c r="S27" s="67">
        <f>0</f>
        <v>0</v>
      </c>
      <c r="T27" s="67">
        <f>0</f>
        <v>0</v>
      </c>
    </row>
    <row r="28" spans="1:21" ht="16.5" customHeight="1">
      <c r="A28" s="61" t="s">
        <v>114</v>
      </c>
      <c r="B28" s="62" t="s">
        <v>115</v>
      </c>
      <c r="C28" s="63">
        <f>0</f>
        <v>0</v>
      </c>
      <c r="D28" s="64">
        <f>0</f>
        <v>0</v>
      </c>
      <c r="E28" s="64">
        <f>0</f>
        <v>0</v>
      </c>
      <c r="F28" s="65">
        <f>0</f>
        <v>0</v>
      </c>
      <c r="G28" s="66">
        <f>0</f>
        <v>0</v>
      </c>
      <c r="H28" s="67">
        <f>0</f>
        <v>0</v>
      </c>
      <c r="I28" s="67">
        <f>0</f>
        <v>0</v>
      </c>
      <c r="J28" s="67">
        <f>0</f>
        <v>0</v>
      </c>
      <c r="K28" s="67">
        <f>0</f>
        <v>0</v>
      </c>
      <c r="L28" s="67">
        <f>0</f>
        <v>0</v>
      </c>
      <c r="M28" s="67">
        <f>0</f>
        <v>0</v>
      </c>
      <c r="N28" s="67">
        <f>0</f>
        <v>0</v>
      </c>
      <c r="O28" s="67">
        <f>0</f>
        <v>0</v>
      </c>
      <c r="P28" s="67">
        <f>0</f>
        <v>0</v>
      </c>
      <c r="Q28" s="67">
        <f>0</f>
        <v>0</v>
      </c>
      <c r="R28" s="67">
        <f>0</f>
        <v>0</v>
      </c>
      <c r="S28" s="67">
        <f>0</f>
        <v>0</v>
      </c>
      <c r="T28" s="67">
        <f>0</f>
        <v>0</v>
      </c>
    </row>
    <row r="29" spans="1:21" ht="27.75" customHeight="1">
      <c r="A29" s="61" t="s">
        <v>116</v>
      </c>
      <c r="B29" s="62" t="s">
        <v>117</v>
      </c>
      <c r="C29" s="63">
        <f>1386417.07</f>
        <v>1386417.07</v>
      </c>
      <c r="D29" s="64">
        <f>2033687.38</f>
        <v>2033687.38</v>
      </c>
      <c r="E29" s="64">
        <f>200000</f>
        <v>200000</v>
      </c>
      <c r="F29" s="65">
        <f>5602899.41</f>
        <v>5602899.4100000001</v>
      </c>
      <c r="G29" s="66">
        <f>3078720</f>
        <v>3078720</v>
      </c>
      <c r="H29" s="67">
        <f>0</f>
        <v>0</v>
      </c>
      <c r="I29" s="67">
        <f>0</f>
        <v>0</v>
      </c>
      <c r="J29" s="67">
        <f>0</f>
        <v>0</v>
      </c>
      <c r="K29" s="67">
        <f>0</f>
        <v>0</v>
      </c>
      <c r="L29" s="67">
        <f>0</f>
        <v>0</v>
      </c>
      <c r="M29" s="67">
        <f>0</f>
        <v>0</v>
      </c>
      <c r="N29" s="67">
        <f>0</f>
        <v>0</v>
      </c>
      <c r="O29" s="67">
        <f>0</f>
        <v>0</v>
      </c>
      <c r="P29" s="67">
        <f>0</f>
        <v>0</v>
      </c>
      <c r="Q29" s="67">
        <f>0</f>
        <v>0</v>
      </c>
      <c r="R29" s="67">
        <f>0</f>
        <v>0</v>
      </c>
      <c r="S29" s="67">
        <f>0</f>
        <v>0</v>
      </c>
      <c r="T29" s="67">
        <f>0</f>
        <v>0</v>
      </c>
    </row>
    <row r="30" spans="1:21" ht="16.5" customHeight="1">
      <c r="A30" s="61" t="s">
        <v>118</v>
      </c>
      <c r="B30" s="62" t="s">
        <v>115</v>
      </c>
      <c r="C30" s="63">
        <f>0</f>
        <v>0</v>
      </c>
      <c r="D30" s="64">
        <f>0</f>
        <v>0</v>
      </c>
      <c r="E30" s="64">
        <f>0</f>
        <v>0</v>
      </c>
      <c r="F30" s="65">
        <f>0</f>
        <v>0</v>
      </c>
      <c r="G30" s="66">
        <f>0</f>
        <v>0</v>
      </c>
      <c r="H30" s="67">
        <f>0</f>
        <v>0</v>
      </c>
      <c r="I30" s="67">
        <f>0</f>
        <v>0</v>
      </c>
      <c r="J30" s="67">
        <f>0</f>
        <v>0</v>
      </c>
      <c r="K30" s="67">
        <f>0</f>
        <v>0</v>
      </c>
      <c r="L30" s="67">
        <f>0</f>
        <v>0</v>
      </c>
      <c r="M30" s="67">
        <f>0</f>
        <v>0</v>
      </c>
      <c r="N30" s="67">
        <f>0</f>
        <v>0</v>
      </c>
      <c r="O30" s="67">
        <f>0</f>
        <v>0</v>
      </c>
      <c r="P30" s="67">
        <f>0</f>
        <v>0</v>
      </c>
      <c r="Q30" s="67">
        <f>0</f>
        <v>0</v>
      </c>
      <c r="R30" s="67">
        <f>0</f>
        <v>0</v>
      </c>
      <c r="S30" s="67">
        <f>0</f>
        <v>0</v>
      </c>
      <c r="T30" s="67">
        <f>0</f>
        <v>0</v>
      </c>
    </row>
    <row r="31" spans="1:21" ht="27" customHeight="1">
      <c r="A31" s="61" t="s">
        <v>119</v>
      </c>
      <c r="B31" s="62" t="s">
        <v>120</v>
      </c>
      <c r="C31" s="63">
        <f>3000000</f>
        <v>3000000</v>
      </c>
      <c r="D31" s="64">
        <f>25000000</f>
        <v>25000000</v>
      </c>
      <c r="E31" s="64">
        <f>0</f>
        <v>0</v>
      </c>
      <c r="F31" s="65">
        <f>0</f>
        <v>0</v>
      </c>
      <c r="G31" s="66">
        <f>6000000</f>
        <v>6000000</v>
      </c>
      <c r="H31" s="67">
        <f>0</f>
        <v>0</v>
      </c>
      <c r="I31" s="67">
        <f>0</f>
        <v>0</v>
      </c>
      <c r="J31" s="67">
        <f>0</f>
        <v>0</v>
      </c>
      <c r="K31" s="67">
        <f>0</f>
        <v>0</v>
      </c>
      <c r="L31" s="67">
        <f>0</f>
        <v>0</v>
      </c>
      <c r="M31" s="67">
        <f>0</f>
        <v>0</v>
      </c>
      <c r="N31" s="67">
        <f>0</f>
        <v>0</v>
      </c>
      <c r="O31" s="67">
        <f>0</f>
        <v>0</v>
      </c>
      <c r="P31" s="67">
        <f>0</f>
        <v>0</v>
      </c>
      <c r="Q31" s="67">
        <f>0</f>
        <v>0</v>
      </c>
      <c r="R31" s="67">
        <f>0</f>
        <v>0</v>
      </c>
      <c r="S31" s="67">
        <f>0</f>
        <v>0</v>
      </c>
      <c r="T31" s="67">
        <f>0</f>
        <v>0</v>
      </c>
    </row>
    <row r="32" spans="1:21" ht="16.5" customHeight="1">
      <c r="A32" s="61" t="s">
        <v>121</v>
      </c>
      <c r="B32" s="62" t="s">
        <v>115</v>
      </c>
      <c r="C32" s="63">
        <f>0</f>
        <v>0</v>
      </c>
      <c r="D32" s="64">
        <f>15165582.93</f>
        <v>15165582.93</v>
      </c>
      <c r="E32" s="64">
        <f>0</f>
        <v>0</v>
      </c>
      <c r="F32" s="65">
        <f>0</f>
        <v>0</v>
      </c>
      <c r="G32" s="66">
        <f>1821539</f>
        <v>1821539</v>
      </c>
      <c r="H32" s="67">
        <f>0</f>
        <v>0</v>
      </c>
      <c r="I32" s="67">
        <f>0</f>
        <v>0</v>
      </c>
      <c r="J32" s="67">
        <f>0</f>
        <v>0</v>
      </c>
      <c r="K32" s="67">
        <f>0</f>
        <v>0</v>
      </c>
      <c r="L32" s="67">
        <f>0</f>
        <v>0</v>
      </c>
      <c r="M32" s="67">
        <f>0</f>
        <v>0</v>
      </c>
      <c r="N32" s="67">
        <f>0</f>
        <v>0</v>
      </c>
      <c r="O32" s="67">
        <f>0</f>
        <v>0</v>
      </c>
      <c r="P32" s="67">
        <f>0</f>
        <v>0</v>
      </c>
      <c r="Q32" s="67">
        <f>0</f>
        <v>0</v>
      </c>
      <c r="R32" s="67">
        <f>0</f>
        <v>0</v>
      </c>
      <c r="S32" s="67">
        <f>0</f>
        <v>0</v>
      </c>
      <c r="T32" s="67">
        <f>0</f>
        <v>0</v>
      </c>
    </row>
    <row r="33" spans="1:21" ht="27" customHeight="1">
      <c r="A33" s="61" t="s">
        <v>122</v>
      </c>
      <c r="B33" s="62" t="s">
        <v>123</v>
      </c>
      <c r="C33" s="63">
        <f>217792</f>
        <v>217792</v>
      </c>
      <c r="D33" s="64">
        <f>0</f>
        <v>0</v>
      </c>
      <c r="E33" s="64">
        <f>0</f>
        <v>0</v>
      </c>
      <c r="F33" s="65">
        <f>19432.16</f>
        <v>19432.16</v>
      </c>
      <c r="G33" s="66">
        <f>0</f>
        <v>0</v>
      </c>
      <c r="H33" s="67">
        <f>0</f>
        <v>0</v>
      </c>
      <c r="I33" s="67">
        <f>0</f>
        <v>0</v>
      </c>
      <c r="J33" s="67">
        <f>0</f>
        <v>0</v>
      </c>
      <c r="K33" s="67">
        <f>0</f>
        <v>0</v>
      </c>
      <c r="L33" s="67">
        <f>0</f>
        <v>0</v>
      </c>
      <c r="M33" s="67">
        <f>0</f>
        <v>0</v>
      </c>
      <c r="N33" s="67">
        <f>0</f>
        <v>0</v>
      </c>
      <c r="O33" s="67">
        <f>0</f>
        <v>0</v>
      </c>
      <c r="P33" s="67">
        <f>0</f>
        <v>0</v>
      </c>
      <c r="Q33" s="67">
        <f>0</f>
        <v>0</v>
      </c>
      <c r="R33" s="67">
        <f>0</f>
        <v>0</v>
      </c>
      <c r="S33" s="67">
        <f>0</f>
        <v>0</v>
      </c>
      <c r="T33" s="67">
        <f>0</f>
        <v>0</v>
      </c>
    </row>
    <row r="34" spans="1:21" ht="17.25" customHeight="1">
      <c r="A34" s="61" t="s">
        <v>124</v>
      </c>
      <c r="B34" s="62" t="s">
        <v>115</v>
      </c>
      <c r="C34" s="63">
        <f>0</f>
        <v>0</v>
      </c>
      <c r="D34" s="64">
        <f>0</f>
        <v>0</v>
      </c>
      <c r="E34" s="64">
        <f>0</f>
        <v>0</v>
      </c>
      <c r="F34" s="65">
        <f>0</f>
        <v>0</v>
      </c>
      <c r="G34" s="66">
        <f>0</f>
        <v>0</v>
      </c>
      <c r="H34" s="67">
        <f>0</f>
        <v>0</v>
      </c>
      <c r="I34" s="67">
        <f>0</f>
        <v>0</v>
      </c>
      <c r="J34" s="67">
        <f>0</f>
        <v>0</v>
      </c>
      <c r="K34" s="67">
        <f>0</f>
        <v>0</v>
      </c>
      <c r="L34" s="67">
        <f>0</f>
        <v>0</v>
      </c>
      <c r="M34" s="67">
        <f>0</f>
        <v>0</v>
      </c>
      <c r="N34" s="67">
        <f>0</f>
        <v>0</v>
      </c>
      <c r="O34" s="67">
        <f>0</f>
        <v>0</v>
      </c>
      <c r="P34" s="67">
        <f>0</f>
        <v>0</v>
      </c>
      <c r="Q34" s="67">
        <f>0</f>
        <v>0</v>
      </c>
      <c r="R34" s="67">
        <f>0</f>
        <v>0</v>
      </c>
      <c r="S34" s="67">
        <f>0</f>
        <v>0</v>
      </c>
      <c r="T34" s="67">
        <f>0</f>
        <v>0</v>
      </c>
    </row>
    <row r="35" spans="1:21" ht="17.25" customHeight="1">
      <c r="A35" s="53">
        <v>5</v>
      </c>
      <c r="B35" s="54" t="s">
        <v>125</v>
      </c>
      <c r="C35" s="55">
        <f>4785512</f>
        <v>4785512</v>
      </c>
      <c r="D35" s="56">
        <f>5654557</f>
        <v>5654557</v>
      </c>
      <c r="E35" s="56">
        <f>7051032</f>
        <v>7051032</v>
      </c>
      <c r="F35" s="57">
        <f>7051032</f>
        <v>7051032</v>
      </c>
      <c r="G35" s="58">
        <f>7257181</f>
        <v>7257181</v>
      </c>
      <c r="H35" s="59">
        <f>7229323</f>
        <v>7229323</v>
      </c>
      <c r="I35" s="59">
        <f>6657276</f>
        <v>6657276</v>
      </c>
      <c r="J35" s="59">
        <f>6490929</f>
        <v>6490929</v>
      </c>
      <c r="K35" s="59">
        <f>5308276</f>
        <v>5308276</v>
      </c>
      <c r="L35" s="59">
        <f>4334612</f>
        <v>4334612</v>
      </c>
      <c r="M35" s="59">
        <f>3450000</f>
        <v>3450000</v>
      </c>
      <c r="N35" s="59">
        <f>3350000</f>
        <v>3350000</v>
      </c>
      <c r="O35" s="59">
        <f t="shared" ref="O35:Q36" si="4">2500000</f>
        <v>2500000</v>
      </c>
      <c r="P35" s="59">
        <f t="shared" si="4"/>
        <v>2500000</v>
      </c>
      <c r="Q35" s="59">
        <f t="shared" si="4"/>
        <v>2500000</v>
      </c>
      <c r="R35" s="59">
        <f t="shared" ref="R35:T36" si="5">1500000</f>
        <v>1500000</v>
      </c>
      <c r="S35" s="59">
        <f t="shared" si="5"/>
        <v>1500000</v>
      </c>
      <c r="T35" s="59">
        <f t="shared" si="5"/>
        <v>1500000</v>
      </c>
      <c r="U35" s="60"/>
    </row>
    <row r="36" spans="1:21" ht="35.25" customHeight="1">
      <c r="A36" s="61" t="s">
        <v>126</v>
      </c>
      <c r="B36" s="62" t="s">
        <v>127</v>
      </c>
      <c r="C36" s="63">
        <f>4785512</f>
        <v>4785512</v>
      </c>
      <c r="D36" s="64">
        <f>5654557</f>
        <v>5654557</v>
      </c>
      <c r="E36" s="64">
        <f>7051032</f>
        <v>7051032</v>
      </c>
      <c r="F36" s="65">
        <f>7051032</f>
        <v>7051032</v>
      </c>
      <c r="G36" s="66">
        <f>7257181</f>
        <v>7257181</v>
      </c>
      <c r="H36" s="67">
        <f>7229323</f>
        <v>7229323</v>
      </c>
      <c r="I36" s="67">
        <f>6657276</f>
        <v>6657276</v>
      </c>
      <c r="J36" s="67">
        <f>6490929</f>
        <v>6490929</v>
      </c>
      <c r="K36" s="67">
        <f>5308276</f>
        <v>5308276</v>
      </c>
      <c r="L36" s="67">
        <f>4334612</f>
        <v>4334612</v>
      </c>
      <c r="M36" s="67">
        <f>3450000</f>
        <v>3450000</v>
      </c>
      <c r="N36" s="67">
        <f>3350000</f>
        <v>3350000</v>
      </c>
      <c r="O36" s="67">
        <f t="shared" si="4"/>
        <v>2500000</v>
      </c>
      <c r="P36" s="67">
        <f t="shared" si="4"/>
        <v>2500000</v>
      </c>
      <c r="Q36" s="67">
        <f t="shared" si="4"/>
        <v>2500000</v>
      </c>
      <c r="R36" s="67">
        <f t="shared" si="5"/>
        <v>1500000</v>
      </c>
      <c r="S36" s="67">
        <f t="shared" si="5"/>
        <v>1500000</v>
      </c>
      <c r="T36" s="67">
        <f t="shared" si="5"/>
        <v>1500000</v>
      </c>
    </row>
    <row r="37" spans="1:21" ht="51.75" customHeight="1">
      <c r="A37" s="61" t="s">
        <v>128</v>
      </c>
      <c r="B37" s="62" t="s">
        <v>129</v>
      </c>
      <c r="C37" s="63">
        <f>0</f>
        <v>0</v>
      </c>
      <c r="D37" s="64">
        <f>0</f>
        <v>0</v>
      </c>
      <c r="E37" s="64">
        <f t="shared" ref="E37:J37" si="6">2000000</f>
        <v>2000000</v>
      </c>
      <c r="F37" s="65">
        <f t="shared" si="6"/>
        <v>2000000</v>
      </c>
      <c r="G37" s="66">
        <f t="shared" si="6"/>
        <v>2000000</v>
      </c>
      <c r="H37" s="67">
        <f t="shared" si="6"/>
        <v>2000000</v>
      </c>
      <c r="I37" s="67">
        <f t="shared" si="6"/>
        <v>2000000</v>
      </c>
      <c r="J37" s="67">
        <f t="shared" si="6"/>
        <v>2000000</v>
      </c>
      <c r="K37" s="67">
        <f>0</f>
        <v>0</v>
      </c>
      <c r="L37" s="67">
        <f>0</f>
        <v>0</v>
      </c>
      <c r="M37" s="67">
        <f>0</f>
        <v>0</v>
      </c>
      <c r="N37" s="67">
        <f>0</f>
        <v>0</v>
      </c>
      <c r="O37" s="67">
        <f>0</f>
        <v>0</v>
      </c>
      <c r="P37" s="67">
        <f>0</f>
        <v>0</v>
      </c>
      <c r="Q37" s="67">
        <f>0</f>
        <v>0</v>
      </c>
      <c r="R37" s="67">
        <f>0</f>
        <v>0</v>
      </c>
      <c r="S37" s="67">
        <f>0</f>
        <v>0</v>
      </c>
      <c r="T37" s="67">
        <f>0</f>
        <v>0</v>
      </c>
    </row>
    <row r="38" spans="1:21" ht="41.25" customHeight="1">
      <c r="A38" s="61" t="s">
        <v>130</v>
      </c>
      <c r="B38" s="62" t="s">
        <v>131</v>
      </c>
      <c r="C38" s="63">
        <f>0</f>
        <v>0</v>
      </c>
      <c r="D38" s="64">
        <f>0</f>
        <v>0</v>
      </c>
      <c r="E38" s="64">
        <f>0</f>
        <v>0</v>
      </c>
      <c r="F38" s="65">
        <f>0</f>
        <v>0</v>
      </c>
      <c r="G38" s="66">
        <f>0</f>
        <v>0</v>
      </c>
      <c r="H38" s="67">
        <f>0</f>
        <v>0</v>
      </c>
      <c r="I38" s="67">
        <f>0</f>
        <v>0</v>
      </c>
      <c r="J38" s="67">
        <f>0</f>
        <v>0</v>
      </c>
      <c r="K38" s="67">
        <f>0</f>
        <v>0</v>
      </c>
      <c r="L38" s="67">
        <f>0</f>
        <v>0</v>
      </c>
      <c r="M38" s="67">
        <f>0</f>
        <v>0</v>
      </c>
      <c r="N38" s="67">
        <f>0</f>
        <v>0</v>
      </c>
      <c r="O38" s="67">
        <f>0</f>
        <v>0</v>
      </c>
      <c r="P38" s="67">
        <f>0</f>
        <v>0</v>
      </c>
      <c r="Q38" s="67">
        <f>0</f>
        <v>0</v>
      </c>
      <c r="R38" s="67">
        <f>0</f>
        <v>0</v>
      </c>
      <c r="S38" s="67">
        <f>0</f>
        <v>0</v>
      </c>
      <c r="T38" s="67">
        <f>0</f>
        <v>0</v>
      </c>
    </row>
    <row r="39" spans="1:21" ht="38.25" customHeight="1">
      <c r="A39" s="61" t="s">
        <v>132</v>
      </c>
      <c r="B39" s="62" t="s">
        <v>133</v>
      </c>
      <c r="C39" s="63">
        <f>0</f>
        <v>0</v>
      </c>
      <c r="D39" s="64">
        <f>0</f>
        <v>0</v>
      </c>
      <c r="E39" s="64">
        <f>0</f>
        <v>0</v>
      </c>
      <c r="F39" s="65">
        <f>0</f>
        <v>0</v>
      </c>
      <c r="G39" s="66">
        <f>0</f>
        <v>0</v>
      </c>
      <c r="H39" s="67">
        <f>0</f>
        <v>0</v>
      </c>
      <c r="I39" s="67">
        <f>0</f>
        <v>0</v>
      </c>
      <c r="J39" s="67">
        <f>0</f>
        <v>0</v>
      </c>
      <c r="K39" s="67">
        <f>0</f>
        <v>0</v>
      </c>
      <c r="L39" s="67">
        <f>0</f>
        <v>0</v>
      </c>
      <c r="M39" s="67">
        <f>0</f>
        <v>0</v>
      </c>
      <c r="N39" s="67">
        <f>0</f>
        <v>0</v>
      </c>
      <c r="O39" s="67">
        <f>0</f>
        <v>0</v>
      </c>
      <c r="P39" s="67">
        <f>0</f>
        <v>0</v>
      </c>
      <c r="Q39" s="67">
        <f>0</f>
        <v>0</v>
      </c>
      <c r="R39" s="67">
        <f>0</f>
        <v>0</v>
      </c>
      <c r="S39" s="67">
        <f>0</f>
        <v>0</v>
      </c>
      <c r="T39" s="67">
        <f>0</f>
        <v>0</v>
      </c>
    </row>
    <row r="40" spans="1:21" ht="39" customHeight="1">
      <c r="A40" s="61" t="s">
        <v>134</v>
      </c>
      <c r="B40" s="62" t="s">
        <v>135</v>
      </c>
      <c r="C40" s="63">
        <f>0</f>
        <v>0</v>
      </c>
      <c r="D40" s="64">
        <f>0</f>
        <v>0</v>
      </c>
      <c r="E40" s="64">
        <f t="shared" ref="E40:J40" si="7">2000000</f>
        <v>2000000</v>
      </c>
      <c r="F40" s="65">
        <f t="shared" si="7"/>
        <v>2000000</v>
      </c>
      <c r="G40" s="66">
        <f t="shared" si="7"/>
        <v>2000000</v>
      </c>
      <c r="H40" s="67">
        <f t="shared" si="7"/>
        <v>2000000</v>
      </c>
      <c r="I40" s="67">
        <f t="shared" si="7"/>
        <v>2000000</v>
      </c>
      <c r="J40" s="67">
        <f t="shared" si="7"/>
        <v>2000000</v>
      </c>
      <c r="K40" s="67">
        <f>0</f>
        <v>0</v>
      </c>
      <c r="L40" s="67">
        <f>0</f>
        <v>0</v>
      </c>
      <c r="M40" s="67">
        <f>0</f>
        <v>0</v>
      </c>
      <c r="N40" s="67">
        <f>0</f>
        <v>0</v>
      </c>
      <c r="O40" s="67">
        <f>0</f>
        <v>0</v>
      </c>
      <c r="P40" s="67">
        <f>0</f>
        <v>0</v>
      </c>
      <c r="Q40" s="67">
        <f>0</f>
        <v>0</v>
      </c>
      <c r="R40" s="67">
        <f>0</f>
        <v>0</v>
      </c>
      <c r="S40" s="67">
        <f>0</f>
        <v>0</v>
      </c>
      <c r="T40" s="67">
        <f>0</f>
        <v>0</v>
      </c>
    </row>
    <row r="41" spans="1:21" ht="17.25" customHeight="1">
      <c r="A41" s="61" t="s">
        <v>136</v>
      </c>
      <c r="B41" s="142" t="s">
        <v>268</v>
      </c>
      <c r="C41" s="63">
        <f>0</f>
        <v>0</v>
      </c>
      <c r="D41" s="64">
        <f>0</f>
        <v>0</v>
      </c>
      <c r="E41" s="64">
        <f>0</f>
        <v>0</v>
      </c>
      <c r="F41" s="65">
        <f>0</f>
        <v>0</v>
      </c>
      <c r="G41" s="66">
        <f>0</f>
        <v>0</v>
      </c>
      <c r="H41" s="67">
        <f>0</f>
        <v>0</v>
      </c>
      <c r="I41" s="67">
        <f>0</f>
        <v>0</v>
      </c>
      <c r="J41" s="67">
        <f>0</f>
        <v>0</v>
      </c>
      <c r="K41" s="67">
        <f>0</f>
        <v>0</v>
      </c>
      <c r="L41" s="67">
        <f>0</f>
        <v>0</v>
      </c>
      <c r="M41" s="67">
        <f>0</f>
        <v>0</v>
      </c>
      <c r="N41" s="67">
        <f>0</f>
        <v>0</v>
      </c>
      <c r="O41" s="67">
        <f>0</f>
        <v>0</v>
      </c>
      <c r="P41" s="67">
        <f>0</f>
        <v>0</v>
      </c>
      <c r="Q41" s="67">
        <f>0</f>
        <v>0</v>
      </c>
      <c r="R41" s="67">
        <f>0</f>
        <v>0</v>
      </c>
      <c r="S41" s="67">
        <f>0</f>
        <v>0</v>
      </c>
      <c r="T41" s="67">
        <f>0</f>
        <v>0</v>
      </c>
    </row>
    <row r="42" spans="1:21" ht="17.25" customHeight="1">
      <c r="A42" s="53">
        <v>6</v>
      </c>
      <c r="B42" s="54" t="s">
        <v>137</v>
      </c>
      <c r="C42" s="55">
        <f>54478625.82</f>
        <v>54478625.82</v>
      </c>
      <c r="D42" s="56">
        <f>64492788.95</f>
        <v>64492788.950000003</v>
      </c>
      <c r="E42" s="56">
        <f>56311357</f>
        <v>56311357</v>
      </c>
      <c r="F42" s="57">
        <f>56311356.09</f>
        <v>56311356.090000004</v>
      </c>
      <c r="G42" s="58">
        <f>52748988</f>
        <v>52748988</v>
      </c>
      <c r="H42" s="59">
        <f>44864903</f>
        <v>44864903</v>
      </c>
      <c r="I42" s="59">
        <f>37552865</f>
        <v>37552865</v>
      </c>
      <c r="J42" s="59">
        <f>30407174</f>
        <v>30407174</v>
      </c>
      <c r="K42" s="59">
        <f>24444136</f>
        <v>24444136</v>
      </c>
      <c r="L42" s="59">
        <f>19454762</f>
        <v>19454762</v>
      </c>
      <c r="M42" s="59">
        <f>15350000</f>
        <v>15350000</v>
      </c>
      <c r="N42" s="59">
        <f>12000000</f>
        <v>12000000</v>
      </c>
      <c r="O42" s="59">
        <f>9500000</f>
        <v>9500000</v>
      </c>
      <c r="P42" s="59">
        <f>7000000</f>
        <v>7000000</v>
      </c>
      <c r="Q42" s="59">
        <f>4500000</f>
        <v>4500000</v>
      </c>
      <c r="R42" s="59">
        <f>3000000</f>
        <v>3000000</v>
      </c>
      <c r="S42" s="59">
        <f>1500000</f>
        <v>1500000</v>
      </c>
      <c r="T42" s="59">
        <f>0</f>
        <v>0</v>
      </c>
      <c r="U42" s="60"/>
    </row>
    <row r="43" spans="1:21" ht="79.5" customHeight="1">
      <c r="A43" s="53">
        <v>7</v>
      </c>
      <c r="B43" s="54" t="s">
        <v>138</v>
      </c>
      <c r="C43" s="55">
        <f>35694240.54</f>
        <v>35694240.539999999</v>
      </c>
      <c r="D43" s="56">
        <f>7461502.27</f>
        <v>7461502.2699999996</v>
      </c>
      <c r="E43" s="56">
        <f>6162077</f>
        <v>6162077</v>
      </c>
      <c r="F43" s="57">
        <f>6162076.32</f>
        <v>6162076.3200000003</v>
      </c>
      <c r="G43" s="58">
        <f>3928572</f>
        <v>3928572</v>
      </c>
      <c r="H43" s="59">
        <f>3273810</f>
        <v>3273810</v>
      </c>
      <c r="I43" s="59">
        <f>2619048</f>
        <v>2619048</v>
      </c>
      <c r="J43" s="59">
        <f>1964286</f>
        <v>1964286</v>
      </c>
      <c r="K43" s="59">
        <f>1309524</f>
        <v>1309524</v>
      </c>
      <c r="L43" s="59">
        <f>654762</f>
        <v>654762</v>
      </c>
      <c r="M43" s="59">
        <f>0</f>
        <v>0</v>
      </c>
      <c r="N43" s="59">
        <f>0</f>
        <v>0</v>
      </c>
      <c r="O43" s="59">
        <f>0</f>
        <v>0</v>
      </c>
      <c r="P43" s="59">
        <f>0</f>
        <v>0</v>
      </c>
      <c r="Q43" s="59">
        <f>0</f>
        <v>0</v>
      </c>
      <c r="R43" s="59">
        <f>0</f>
        <v>0</v>
      </c>
      <c r="S43" s="59">
        <f>0</f>
        <v>0</v>
      </c>
      <c r="T43" s="59">
        <f>0</f>
        <v>0</v>
      </c>
      <c r="U43" s="60"/>
    </row>
    <row r="44" spans="1:21" ht="39.75" customHeight="1">
      <c r="A44" s="53">
        <v>8</v>
      </c>
      <c r="B44" s="54" t="s">
        <v>139</v>
      </c>
      <c r="C44" s="68" t="s">
        <v>140</v>
      </c>
      <c r="D44" s="69" t="s">
        <v>140</v>
      </c>
      <c r="E44" s="69" t="s">
        <v>140</v>
      </c>
      <c r="F44" s="70" t="s">
        <v>140</v>
      </c>
      <c r="G44" s="71" t="s">
        <v>140</v>
      </c>
      <c r="H44" s="72" t="s">
        <v>140</v>
      </c>
      <c r="I44" s="72" t="s">
        <v>140</v>
      </c>
      <c r="J44" s="72" t="s">
        <v>140</v>
      </c>
      <c r="K44" s="72" t="s">
        <v>140</v>
      </c>
      <c r="L44" s="72" t="s">
        <v>140</v>
      </c>
      <c r="M44" s="72" t="s">
        <v>140</v>
      </c>
      <c r="N44" s="72" t="s">
        <v>140</v>
      </c>
      <c r="O44" s="72" t="s">
        <v>140</v>
      </c>
      <c r="P44" s="72" t="s">
        <v>140</v>
      </c>
      <c r="Q44" s="72" t="s">
        <v>140</v>
      </c>
      <c r="R44" s="72" t="s">
        <v>140</v>
      </c>
      <c r="S44" s="72" t="s">
        <v>140</v>
      </c>
      <c r="T44" s="72" t="s">
        <v>140</v>
      </c>
      <c r="U44" s="60"/>
    </row>
    <row r="45" spans="1:21" ht="28.5" customHeight="1">
      <c r="A45" s="61" t="s">
        <v>141</v>
      </c>
      <c r="B45" s="62" t="s">
        <v>142</v>
      </c>
      <c r="C45" s="63">
        <f>3919085.4</f>
        <v>3919085.4</v>
      </c>
      <c r="D45" s="64">
        <f>-20552101.64</f>
        <v>-20552101.640000001</v>
      </c>
      <c r="E45" s="64">
        <f>6342175</f>
        <v>6342175</v>
      </c>
      <c r="F45" s="65">
        <f>10223537.61</f>
        <v>10223537.609999999</v>
      </c>
      <c r="G45" s="66">
        <f>1710716</f>
        <v>1710716</v>
      </c>
      <c r="H45" s="67">
        <f>5256998</f>
        <v>5256998</v>
      </c>
      <c r="I45" s="67">
        <f>7435676</f>
        <v>7435676</v>
      </c>
      <c r="J45" s="67">
        <f>9420337</f>
        <v>9420337</v>
      </c>
      <c r="K45" s="67">
        <f>9237489</f>
        <v>9237489</v>
      </c>
      <c r="L45" s="67">
        <f>11434386</f>
        <v>11434386</v>
      </c>
      <c r="M45" s="67">
        <f>13616969</f>
        <v>13616969</v>
      </c>
      <c r="N45" s="67">
        <f>16155899</f>
        <v>16155899</v>
      </c>
      <c r="O45" s="67">
        <f>17968732</f>
        <v>17968732</v>
      </c>
      <c r="P45" s="67">
        <f>22115231</f>
        <v>22115231</v>
      </c>
      <c r="Q45" s="67">
        <f>23681573</f>
        <v>23681573</v>
      </c>
      <c r="R45" s="67">
        <f>25160039</f>
        <v>25160039</v>
      </c>
      <c r="S45" s="67">
        <f>26699591</f>
        <v>26699591</v>
      </c>
      <c r="T45" s="67">
        <f>28440507</f>
        <v>28440507</v>
      </c>
    </row>
    <row r="46" spans="1:21" ht="39.75" customHeight="1">
      <c r="A46" s="61" t="s">
        <v>143</v>
      </c>
      <c r="B46" s="62" t="s">
        <v>144</v>
      </c>
      <c r="C46" s="63">
        <f>5305502.47</f>
        <v>5305502.47</v>
      </c>
      <c r="D46" s="64">
        <f>7754393.38</f>
        <v>7754393.3799999999</v>
      </c>
      <c r="E46" s="64">
        <f>7593101</f>
        <v>7593101</v>
      </c>
      <c r="F46" s="65">
        <f>16877363.49</f>
        <v>16877363.489999998</v>
      </c>
      <c r="G46" s="66">
        <f>7022941</f>
        <v>7022941</v>
      </c>
      <c r="H46" s="67">
        <f>5256998</f>
        <v>5256998</v>
      </c>
      <c r="I46" s="67">
        <f>7435676</f>
        <v>7435676</v>
      </c>
      <c r="J46" s="67">
        <f>9420337</f>
        <v>9420337</v>
      </c>
      <c r="K46" s="67">
        <f>9237489</f>
        <v>9237489</v>
      </c>
      <c r="L46" s="67">
        <f>11434386</f>
        <v>11434386</v>
      </c>
      <c r="M46" s="67">
        <f>13616969</f>
        <v>13616969</v>
      </c>
      <c r="N46" s="67">
        <f>16155899</f>
        <v>16155899</v>
      </c>
      <c r="O46" s="67">
        <f>17968732</f>
        <v>17968732</v>
      </c>
      <c r="P46" s="67">
        <f>22115231</f>
        <v>22115231</v>
      </c>
      <c r="Q46" s="67">
        <f>23681573</f>
        <v>23681573</v>
      </c>
      <c r="R46" s="67">
        <f>25160039</f>
        <v>25160039</v>
      </c>
      <c r="S46" s="67">
        <f>26699591</f>
        <v>26699591</v>
      </c>
      <c r="T46" s="67">
        <f>28440507</f>
        <v>28440507</v>
      </c>
    </row>
    <row r="47" spans="1:21" ht="17.25" customHeight="1">
      <c r="A47" s="53">
        <v>9</v>
      </c>
      <c r="B47" s="54" t="s">
        <v>145</v>
      </c>
      <c r="C47" s="68" t="s">
        <v>140</v>
      </c>
      <c r="D47" s="69" t="s">
        <v>140</v>
      </c>
      <c r="E47" s="69" t="s">
        <v>140</v>
      </c>
      <c r="F47" s="70" t="s">
        <v>140</v>
      </c>
      <c r="G47" s="71" t="s">
        <v>140</v>
      </c>
      <c r="H47" s="72" t="s">
        <v>140</v>
      </c>
      <c r="I47" s="72" t="s">
        <v>140</v>
      </c>
      <c r="J47" s="72" t="s">
        <v>140</v>
      </c>
      <c r="K47" s="72" t="s">
        <v>140</v>
      </c>
      <c r="L47" s="72" t="s">
        <v>140</v>
      </c>
      <c r="M47" s="72" t="s">
        <v>140</v>
      </c>
      <c r="N47" s="72" t="s">
        <v>140</v>
      </c>
      <c r="O47" s="72" t="s">
        <v>140</v>
      </c>
      <c r="P47" s="72" t="s">
        <v>140</v>
      </c>
      <c r="Q47" s="72" t="s">
        <v>140</v>
      </c>
      <c r="R47" s="72" t="s">
        <v>140</v>
      </c>
      <c r="S47" s="72" t="s">
        <v>140</v>
      </c>
      <c r="T47" s="72" t="s">
        <v>140</v>
      </c>
      <c r="U47" s="60"/>
    </row>
    <row r="48" spans="1:21" ht="90.75" customHeight="1">
      <c r="A48" s="61" t="s">
        <v>146</v>
      </c>
      <c r="B48" s="62" t="s">
        <v>147</v>
      </c>
      <c r="C48" s="73">
        <f>0.0705</f>
        <v>7.0499999999999993E-2</v>
      </c>
      <c r="D48" s="74">
        <f>0.0669</f>
        <v>6.6900000000000001E-2</v>
      </c>
      <c r="E48" s="74">
        <f>0.0751</f>
        <v>7.51E-2</v>
      </c>
      <c r="F48" s="75">
        <f>0.0821</f>
        <v>8.2100000000000006E-2</v>
      </c>
      <c r="G48" s="76">
        <f>0.0807</f>
        <v>8.0699999999999994E-2</v>
      </c>
      <c r="H48" s="77">
        <f>0.079</f>
        <v>7.9000000000000001E-2</v>
      </c>
      <c r="I48" s="77">
        <f>0.0708</f>
        <v>7.0800000000000002E-2</v>
      </c>
      <c r="J48" s="77">
        <f>0.0653</f>
        <v>6.5299999999999997E-2</v>
      </c>
      <c r="K48" s="77">
        <f>0.0709</f>
        <v>7.0900000000000005E-2</v>
      </c>
      <c r="L48" s="77">
        <f>0.0591</f>
        <v>5.91E-2</v>
      </c>
      <c r="M48" s="77">
        <f>0.0492</f>
        <v>4.9200000000000001E-2</v>
      </c>
      <c r="N48" s="77">
        <f>0.0455</f>
        <v>4.5499999999999999E-2</v>
      </c>
      <c r="O48" s="77">
        <f>0.0373</f>
        <v>3.73E-2</v>
      </c>
      <c r="P48" s="77">
        <f>0.0191</f>
        <v>1.9099999999999999E-2</v>
      </c>
      <c r="Q48" s="77">
        <f>0.0179</f>
        <v>1.7899999999999999E-2</v>
      </c>
      <c r="R48" s="77">
        <f>0.0105</f>
        <v>1.0500000000000001E-2</v>
      </c>
      <c r="S48" s="77">
        <f>0.01</f>
        <v>0.01</v>
      </c>
      <c r="T48" s="77">
        <f>0.0091</f>
        <v>9.1000000000000004E-3</v>
      </c>
    </row>
    <row r="49" spans="1:21" ht="92.25" customHeight="1">
      <c r="A49" s="61" t="s">
        <v>148</v>
      </c>
      <c r="B49" s="62" t="s">
        <v>149</v>
      </c>
      <c r="C49" s="73">
        <f>0.0705</f>
        <v>7.0499999999999993E-2</v>
      </c>
      <c r="D49" s="74">
        <f>0.0669</f>
        <v>6.6900000000000001E-2</v>
      </c>
      <c r="E49" s="74">
        <f>0.0587</f>
        <v>5.8700000000000002E-2</v>
      </c>
      <c r="F49" s="75">
        <f>0.0637</f>
        <v>6.3700000000000007E-2</v>
      </c>
      <c r="G49" s="76">
        <f>0.0629</f>
        <v>6.2899999999999998E-2</v>
      </c>
      <c r="H49" s="77">
        <f>0.0623</f>
        <v>6.2300000000000001E-2</v>
      </c>
      <c r="I49" s="77">
        <f>0.0545</f>
        <v>5.45E-2</v>
      </c>
      <c r="J49" s="77">
        <f>0.0494</f>
        <v>4.9399999999999999E-2</v>
      </c>
      <c r="K49" s="77">
        <f>0.0709</f>
        <v>7.0900000000000005E-2</v>
      </c>
      <c r="L49" s="77">
        <f>0.0591</f>
        <v>5.91E-2</v>
      </c>
      <c r="M49" s="77">
        <f>0.0492</f>
        <v>4.9200000000000001E-2</v>
      </c>
      <c r="N49" s="77">
        <f>0.0455</f>
        <v>4.5499999999999999E-2</v>
      </c>
      <c r="O49" s="77">
        <f>0.0373</f>
        <v>3.73E-2</v>
      </c>
      <c r="P49" s="77">
        <f>0.0191</f>
        <v>1.9099999999999999E-2</v>
      </c>
      <c r="Q49" s="77">
        <f>0.0179</f>
        <v>1.7899999999999999E-2</v>
      </c>
      <c r="R49" s="77">
        <f>0.0105</f>
        <v>1.0500000000000001E-2</v>
      </c>
      <c r="S49" s="77">
        <f>0.01</f>
        <v>0.01</v>
      </c>
      <c r="T49" s="77">
        <f>0.0091</f>
        <v>9.1000000000000004E-3</v>
      </c>
    </row>
    <row r="50" spans="1:21" ht="70.5" customHeight="1">
      <c r="A50" s="61" t="s">
        <v>150</v>
      </c>
      <c r="B50" s="62" t="s">
        <v>151</v>
      </c>
      <c r="C50" s="63">
        <f>0</f>
        <v>0</v>
      </c>
      <c r="D50" s="64">
        <f>0</f>
        <v>0</v>
      </c>
      <c r="E50" s="64">
        <f>0</f>
        <v>0</v>
      </c>
      <c r="F50" s="65">
        <f>0</f>
        <v>0</v>
      </c>
      <c r="G50" s="66">
        <f>0</f>
        <v>0</v>
      </c>
      <c r="H50" s="67">
        <f>0</f>
        <v>0</v>
      </c>
      <c r="I50" s="67">
        <f>0</f>
        <v>0</v>
      </c>
      <c r="J50" s="67">
        <f>0</f>
        <v>0</v>
      </c>
      <c r="K50" s="67">
        <f>0</f>
        <v>0</v>
      </c>
      <c r="L50" s="67">
        <f>0</f>
        <v>0</v>
      </c>
      <c r="M50" s="67">
        <f>0</f>
        <v>0</v>
      </c>
      <c r="N50" s="67">
        <f>0</f>
        <v>0</v>
      </c>
      <c r="O50" s="67">
        <f>0</f>
        <v>0</v>
      </c>
      <c r="P50" s="67">
        <f>0</f>
        <v>0</v>
      </c>
      <c r="Q50" s="67">
        <f>0</f>
        <v>0</v>
      </c>
      <c r="R50" s="67">
        <f>0</f>
        <v>0</v>
      </c>
      <c r="S50" s="67">
        <f>0</f>
        <v>0</v>
      </c>
      <c r="T50" s="67">
        <f>0</f>
        <v>0</v>
      </c>
    </row>
    <row r="51" spans="1:21" ht="90.75" customHeight="1">
      <c r="A51" s="61" t="s">
        <v>152</v>
      </c>
      <c r="B51" s="62" t="s">
        <v>153</v>
      </c>
      <c r="C51" s="73">
        <f>0.0705</f>
        <v>7.0499999999999993E-2</v>
      </c>
      <c r="D51" s="74">
        <f>0.0669</f>
        <v>6.6900000000000001E-2</v>
      </c>
      <c r="E51" s="74">
        <f>0.0587</f>
        <v>5.8700000000000002E-2</v>
      </c>
      <c r="F51" s="75">
        <f>0.0637</f>
        <v>6.3700000000000007E-2</v>
      </c>
      <c r="G51" s="76">
        <f>0.0629</f>
        <v>6.2899999999999998E-2</v>
      </c>
      <c r="H51" s="77">
        <f>0.0623</f>
        <v>6.2300000000000001E-2</v>
      </c>
      <c r="I51" s="77">
        <f>0.0545</f>
        <v>5.45E-2</v>
      </c>
      <c r="J51" s="77">
        <f>0.0494</f>
        <v>4.9399999999999999E-2</v>
      </c>
      <c r="K51" s="77">
        <f>0.0709</f>
        <v>7.0900000000000005E-2</v>
      </c>
      <c r="L51" s="77">
        <f>0.0591</f>
        <v>5.91E-2</v>
      </c>
      <c r="M51" s="77">
        <f>0.0492</f>
        <v>4.9200000000000001E-2</v>
      </c>
      <c r="N51" s="77">
        <f>0.0455</f>
        <v>4.5499999999999999E-2</v>
      </c>
      <c r="O51" s="77">
        <f>0.0373</f>
        <v>3.73E-2</v>
      </c>
      <c r="P51" s="77">
        <f>0.0191</f>
        <v>1.9099999999999999E-2</v>
      </c>
      <c r="Q51" s="77">
        <f>0.0179</f>
        <v>1.7899999999999999E-2</v>
      </c>
      <c r="R51" s="77">
        <f>0.0105</f>
        <v>1.0500000000000001E-2</v>
      </c>
      <c r="S51" s="77">
        <f>0.01</f>
        <v>0.01</v>
      </c>
      <c r="T51" s="77">
        <f>0.0091</f>
        <v>9.1000000000000004E-3</v>
      </c>
    </row>
    <row r="52" spans="1:21" ht="66" customHeight="1">
      <c r="A52" s="61" t="s">
        <v>154</v>
      </c>
      <c r="B52" s="78" t="s">
        <v>155</v>
      </c>
      <c r="C52" s="73">
        <f>0.0585</f>
        <v>5.8500000000000003E-2</v>
      </c>
      <c r="D52" s="74">
        <f>0.1299</f>
        <v>0.12989999999999999</v>
      </c>
      <c r="E52" s="74">
        <f>0.1393</f>
        <v>0.13930000000000001</v>
      </c>
      <c r="F52" s="75">
        <f>0.1058</f>
        <v>0.10580000000000001</v>
      </c>
      <c r="G52" s="76">
        <f>0.0457</f>
        <v>4.5699999999999998E-2</v>
      </c>
      <c r="H52" s="77">
        <f>0.0691</f>
        <v>6.9099999999999995E-2</v>
      </c>
      <c r="I52" s="77">
        <f>0.077</f>
        <v>7.6999999999999999E-2</v>
      </c>
      <c r="J52" s="77">
        <f>0.0829</f>
        <v>8.2900000000000001E-2</v>
      </c>
      <c r="K52" s="77">
        <f>0.0749</f>
        <v>7.4899999999999994E-2</v>
      </c>
      <c r="L52" s="77">
        <f>0.0873</f>
        <v>8.7300000000000003E-2</v>
      </c>
      <c r="M52" s="77">
        <f>0.0999</f>
        <v>9.9900000000000003E-2</v>
      </c>
      <c r="N52" s="77">
        <f>0.1143</f>
        <v>0.1143</v>
      </c>
      <c r="O52" s="77">
        <f>0.1225</f>
        <v>0.1225</v>
      </c>
      <c r="P52" s="77">
        <f>0.1461</f>
        <v>0.14610000000000001</v>
      </c>
      <c r="Q52" s="77">
        <f>0.1518</f>
        <v>0.15179999999999999</v>
      </c>
      <c r="R52" s="77">
        <f>0.1568</f>
        <v>0.15679999999999999</v>
      </c>
      <c r="S52" s="77">
        <f>0.1616</f>
        <v>0.16159999999999999</v>
      </c>
      <c r="T52" s="77">
        <f>0.1673</f>
        <v>0.1673</v>
      </c>
    </row>
    <row r="53" spans="1:21" ht="87.75" customHeight="1">
      <c r="A53" s="61" t="s">
        <v>156</v>
      </c>
      <c r="B53" s="62" t="s">
        <v>157</v>
      </c>
      <c r="C53" s="68" t="s">
        <v>140</v>
      </c>
      <c r="D53" s="69" t="s">
        <v>140</v>
      </c>
      <c r="E53" s="69" t="s">
        <v>140</v>
      </c>
      <c r="F53" s="70" t="s">
        <v>140</v>
      </c>
      <c r="G53" s="76">
        <f>0.1092</f>
        <v>0.10920000000000001</v>
      </c>
      <c r="H53" s="77">
        <f>0.105</f>
        <v>0.105</v>
      </c>
      <c r="I53" s="77">
        <f>0.0847</f>
        <v>8.4699999999999998E-2</v>
      </c>
      <c r="J53" s="77">
        <f>0.0639</f>
        <v>6.3899999999999998E-2</v>
      </c>
      <c r="K53" s="77">
        <f>0.0763</f>
        <v>7.6300000000000007E-2</v>
      </c>
      <c r="L53" s="77">
        <f>0.0783</f>
        <v>7.8299999999999995E-2</v>
      </c>
      <c r="M53" s="77">
        <f>0.0817</f>
        <v>8.1699999999999995E-2</v>
      </c>
      <c r="N53" s="77">
        <f>0.0874</f>
        <v>8.7400000000000005E-2</v>
      </c>
      <c r="O53" s="77">
        <f>0.1005</f>
        <v>0.10050000000000001</v>
      </c>
      <c r="P53" s="77">
        <f>0.1122</f>
        <v>0.11219999999999999</v>
      </c>
      <c r="Q53" s="77">
        <f>0.1276</f>
        <v>0.12759999999999999</v>
      </c>
      <c r="R53" s="77">
        <f>0.1401</f>
        <v>0.1401</v>
      </c>
      <c r="S53" s="77">
        <f>0.1516</f>
        <v>0.15160000000000001</v>
      </c>
      <c r="T53" s="77">
        <f>0.1567</f>
        <v>0.15670000000000001</v>
      </c>
    </row>
    <row r="54" spans="1:21" ht="91.5" customHeight="1">
      <c r="A54" s="61" t="s">
        <v>158</v>
      </c>
      <c r="B54" s="62" t="s">
        <v>159</v>
      </c>
      <c r="C54" s="68" t="s">
        <v>140</v>
      </c>
      <c r="D54" s="69" t="s">
        <v>140</v>
      </c>
      <c r="E54" s="69" t="s">
        <v>140</v>
      </c>
      <c r="F54" s="70" t="s">
        <v>140</v>
      </c>
      <c r="G54" s="76">
        <f>0.0981</f>
        <v>9.8100000000000007E-2</v>
      </c>
      <c r="H54" s="77">
        <f>0.0938</f>
        <v>9.3799999999999994E-2</v>
      </c>
      <c r="I54" s="77">
        <f>0.0735</f>
        <v>7.3499999999999996E-2</v>
      </c>
      <c r="J54" s="77">
        <f>0.0639</f>
        <v>6.3899999999999998E-2</v>
      </c>
      <c r="K54" s="77">
        <f>0.0763</f>
        <v>7.6300000000000007E-2</v>
      </c>
      <c r="L54" s="77">
        <f>0.0783</f>
        <v>7.8299999999999995E-2</v>
      </c>
      <c r="M54" s="77">
        <f>0.0817</f>
        <v>8.1699999999999995E-2</v>
      </c>
      <c r="N54" s="77">
        <f>0.0874</f>
        <v>8.7400000000000005E-2</v>
      </c>
      <c r="O54" s="77">
        <f>0.1005</f>
        <v>0.10050000000000001</v>
      </c>
      <c r="P54" s="77">
        <f>0.1122</f>
        <v>0.11219999999999999</v>
      </c>
      <c r="Q54" s="77">
        <f>0.1276</f>
        <v>0.12759999999999999</v>
      </c>
      <c r="R54" s="77">
        <f>0.1401</f>
        <v>0.1401</v>
      </c>
      <c r="S54" s="77">
        <f>0.1516</f>
        <v>0.15160000000000001</v>
      </c>
      <c r="T54" s="77">
        <f>0.1567</f>
        <v>0.15670000000000001</v>
      </c>
    </row>
    <row r="55" spans="1:21" ht="102" customHeight="1">
      <c r="A55" s="61" t="s">
        <v>160</v>
      </c>
      <c r="B55" s="62" t="s">
        <v>161</v>
      </c>
      <c r="C55" s="68" t="s">
        <v>140</v>
      </c>
      <c r="D55" s="69" t="s">
        <v>140</v>
      </c>
      <c r="E55" s="69" t="s">
        <v>140</v>
      </c>
      <c r="F55" s="70" t="s">
        <v>140</v>
      </c>
      <c r="G55" s="79" t="str">
        <f>IF(G51&lt;=G53,"Spełniona","Nie spełniona")</f>
        <v>Spełniona</v>
      </c>
      <c r="H55" s="80" t="str">
        <f t="shared" ref="H55:T55" si="8">IF(H51&lt;=H53,"Spełniona","Nie spełniona")</f>
        <v>Spełniona</v>
      </c>
      <c r="I55" s="80" t="str">
        <f t="shared" si="8"/>
        <v>Spełniona</v>
      </c>
      <c r="J55" s="80" t="str">
        <f t="shared" si="8"/>
        <v>Spełniona</v>
      </c>
      <c r="K55" s="80" t="str">
        <f t="shared" si="8"/>
        <v>Spełniona</v>
      </c>
      <c r="L55" s="80" t="str">
        <f t="shared" si="8"/>
        <v>Spełniona</v>
      </c>
      <c r="M55" s="80" t="str">
        <f t="shared" si="8"/>
        <v>Spełniona</v>
      </c>
      <c r="N55" s="80" t="str">
        <f t="shared" si="8"/>
        <v>Spełniona</v>
      </c>
      <c r="O55" s="80" t="str">
        <f t="shared" si="8"/>
        <v>Spełniona</v>
      </c>
      <c r="P55" s="80" t="str">
        <f t="shared" si="8"/>
        <v>Spełniona</v>
      </c>
      <c r="Q55" s="80" t="str">
        <f t="shared" si="8"/>
        <v>Spełniona</v>
      </c>
      <c r="R55" s="80" t="str">
        <f t="shared" si="8"/>
        <v>Spełniona</v>
      </c>
      <c r="S55" s="80" t="str">
        <f t="shared" si="8"/>
        <v>Spełniona</v>
      </c>
      <c r="T55" s="80" t="str">
        <f t="shared" si="8"/>
        <v>Spełniona</v>
      </c>
    </row>
    <row r="56" spans="1:21" ht="102" customHeight="1">
      <c r="A56" s="61" t="s">
        <v>162</v>
      </c>
      <c r="B56" s="62" t="s">
        <v>163</v>
      </c>
      <c r="C56" s="68" t="s">
        <v>140</v>
      </c>
      <c r="D56" s="69" t="s">
        <v>140</v>
      </c>
      <c r="E56" s="69" t="s">
        <v>140</v>
      </c>
      <c r="F56" s="70" t="s">
        <v>140</v>
      </c>
      <c r="G56" s="79" t="str">
        <f>IF(G51&lt;=G54,"Spełniona","Nie spełniona")</f>
        <v>Spełniona</v>
      </c>
      <c r="H56" s="80" t="str">
        <f t="shared" ref="H56:T56" si="9">IF(H51&lt;=H54,"Spełniona","Nie spełniona")</f>
        <v>Spełniona</v>
      </c>
      <c r="I56" s="80" t="str">
        <f t="shared" si="9"/>
        <v>Spełniona</v>
      </c>
      <c r="J56" s="80" t="str">
        <f t="shared" si="9"/>
        <v>Spełniona</v>
      </c>
      <c r="K56" s="80" t="str">
        <f t="shared" si="9"/>
        <v>Spełniona</v>
      </c>
      <c r="L56" s="80" t="str">
        <f t="shared" si="9"/>
        <v>Spełniona</v>
      </c>
      <c r="M56" s="80" t="str">
        <f t="shared" si="9"/>
        <v>Spełniona</v>
      </c>
      <c r="N56" s="80" t="str">
        <f t="shared" si="9"/>
        <v>Spełniona</v>
      </c>
      <c r="O56" s="80" t="str">
        <f t="shared" si="9"/>
        <v>Spełniona</v>
      </c>
      <c r="P56" s="80" t="str">
        <f t="shared" si="9"/>
        <v>Spełniona</v>
      </c>
      <c r="Q56" s="80" t="str">
        <f t="shared" si="9"/>
        <v>Spełniona</v>
      </c>
      <c r="R56" s="80" t="str">
        <f t="shared" si="9"/>
        <v>Spełniona</v>
      </c>
      <c r="S56" s="80" t="str">
        <f t="shared" si="9"/>
        <v>Spełniona</v>
      </c>
      <c r="T56" s="80" t="str">
        <f t="shared" si="9"/>
        <v>Spełniona</v>
      </c>
    </row>
    <row r="57" spans="1:21" ht="29.25" customHeight="1">
      <c r="A57" s="53">
        <v>10</v>
      </c>
      <c r="B57" s="54" t="s">
        <v>164</v>
      </c>
      <c r="C57" s="55">
        <f>0</f>
        <v>0</v>
      </c>
      <c r="D57" s="56">
        <f>0</f>
        <v>0</v>
      </c>
      <c r="E57" s="56">
        <f>0</f>
        <v>0</v>
      </c>
      <c r="F57" s="57">
        <f>0</f>
        <v>0</v>
      </c>
      <c r="G57" s="58">
        <f>0</f>
        <v>0</v>
      </c>
      <c r="H57" s="59">
        <f>7229323</f>
        <v>7229323</v>
      </c>
      <c r="I57" s="59">
        <f>6657276</f>
        <v>6657276</v>
      </c>
      <c r="J57" s="59">
        <f>6490929</f>
        <v>6490929</v>
      </c>
      <c r="K57" s="59">
        <f>5308276</f>
        <v>5308276</v>
      </c>
      <c r="L57" s="59">
        <f>4334612</f>
        <v>4334612</v>
      </c>
      <c r="M57" s="59">
        <f>3450000</f>
        <v>3450000</v>
      </c>
      <c r="N57" s="59">
        <f>3350000</f>
        <v>3350000</v>
      </c>
      <c r="O57" s="59">
        <f t="shared" ref="O57:Q58" si="10">2500000</f>
        <v>2500000</v>
      </c>
      <c r="P57" s="59">
        <f t="shared" si="10"/>
        <v>2500000</v>
      </c>
      <c r="Q57" s="59">
        <f t="shared" si="10"/>
        <v>2500000</v>
      </c>
      <c r="R57" s="59">
        <f t="shared" ref="R57:T58" si="11">1500000</f>
        <v>1500000</v>
      </c>
      <c r="S57" s="59">
        <f t="shared" si="11"/>
        <v>1500000</v>
      </c>
      <c r="T57" s="59">
        <f t="shared" si="11"/>
        <v>1500000</v>
      </c>
      <c r="U57" s="60"/>
    </row>
    <row r="58" spans="1:21" ht="29.25" customHeight="1">
      <c r="A58" s="61" t="s">
        <v>165</v>
      </c>
      <c r="B58" s="62" t="s">
        <v>166</v>
      </c>
      <c r="C58" s="63">
        <f>0</f>
        <v>0</v>
      </c>
      <c r="D58" s="64">
        <f>0</f>
        <v>0</v>
      </c>
      <c r="E58" s="64">
        <f>0</f>
        <v>0</v>
      </c>
      <c r="F58" s="65">
        <f>0</f>
        <v>0</v>
      </c>
      <c r="G58" s="66">
        <f>0</f>
        <v>0</v>
      </c>
      <c r="H58" s="67">
        <f>7229323</f>
        <v>7229323</v>
      </c>
      <c r="I58" s="67">
        <f>6657276</f>
        <v>6657276</v>
      </c>
      <c r="J58" s="67">
        <f>6490929</f>
        <v>6490929</v>
      </c>
      <c r="K58" s="67">
        <f>5308276</f>
        <v>5308276</v>
      </c>
      <c r="L58" s="67">
        <f>4334612</f>
        <v>4334612</v>
      </c>
      <c r="M58" s="67">
        <f>3450000</f>
        <v>3450000</v>
      </c>
      <c r="N58" s="67">
        <f>3350000</f>
        <v>3350000</v>
      </c>
      <c r="O58" s="67">
        <f t="shared" si="10"/>
        <v>2500000</v>
      </c>
      <c r="P58" s="67">
        <f t="shared" si="10"/>
        <v>2500000</v>
      </c>
      <c r="Q58" s="67">
        <f t="shared" si="10"/>
        <v>2500000</v>
      </c>
      <c r="R58" s="67">
        <f t="shared" si="11"/>
        <v>1500000</v>
      </c>
      <c r="S58" s="67">
        <f t="shared" si="11"/>
        <v>1500000</v>
      </c>
      <c r="T58" s="67">
        <f t="shared" si="11"/>
        <v>1500000</v>
      </c>
    </row>
    <row r="59" spans="1:21" ht="29.25" customHeight="1">
      <c r="A59" s="53">
        <v>11</v>
      </c>
      <c r="B59" s="54" t="s">
        <v>167</v>
      </c>
      <c r="C59" s="68" t="s">
        <v>140</v>
      </c>
      <c r="D59" s="69" t="s">
        <v>140</v>
      </c>
      <c r="E59" s="69" t="s">
        <v>140</v>
      </c>
      <c r="F59" s="70" t="s">
        <v>140</v>
      </c>
      <c r="G59" s="71" t="s">
        <v>140</v>
      </c>
      <c r="H59" s="72" t="s">
        <v>140</v>
      </c>
      <c r="I59" s="72" t="s">
        <v>140</v>
      </c>
      <c r="J59" s="72" t="s">
        <v>140</v>
      </c>
      <c r="K59" s="72" t="s">
        <v>140</v>
      </c>
      <c r="L59" s="72" t="s">
        <v>140</v>
      </c>
      <c r="M59" s="72" t="s">
        <v>140</v>
      </c>
      <c r="N59" s="72" t="s">
        <v>140</v>
      </c>
      <c r="O59" s="72" t="s">
        <v>140</v>
      </c>
      <c r="P59" s="72" t="s">
        <v>140</v>
      </c>
      <c r="Q59" s="72" t="s">
        <v>140</v>
      </c>
      <c r="R59" s="72" t="s">
        <v>140</v>
      </c>
      <c r="S59" s="72" t="s">
        <v>140</v>
      </c>
      <c r="T59" s="72" t="s">
        <v>140</v>
      </c>
      <c r="U59" s="60"/>
    </row>
    <row r="60" spans="1:21" ht="29.25" customHeight="1">
      <c r="A60" s="61" t="s">
        <v>168</v>
      </c>
      <c r="B60" s="62" t="s">
        <v>169</v>
      </c>
      <c r="C60" s="63">
        <f>57941864.87</f>
        <v>57941864.869999997</v>
      </c>
      <c r="D60" s="64">
        <f>61493180.5</f>
        <v>61493180.5</v>
      </c>
      <c r="E60" s="64">
        <f>61964709</f>
        <v>61964709</v>
      </c>
      <c r="F60" s="65">
        <f>59898977.95</f>
        <v>59898977.950000003</v>
      </c>
      <c r="G60" s="66">
        <f>65695721</f>
        <v>65695721</v>
      </c>
      <c r="H60" s="67">
        <f>67936363</f>
        <v>67936363</v>
      </c>
      <c r="I60" s="67">
        <f>69363027</f>
        <v>69363027</v>
      </c>
      <c r="J60" s="67">
        <f>71097103</f>
        <v>71097103</v>
      </c>
      <c r="K60" s="67">
        <f>72803433</f>
        <v>72803433</v>
      </c>
      <c r="L60" s="67">
        <f>74550715</f>
        <v>74550715</v>
      </c>
      <c r="M60" s="67">
        <f>76339932</f>
        <v>76339932</v>
      </c>
      <c r="N60" s="67">
        <f>78172090</f>
        <v>78172090</v>
      </c>
      <c r="O60" s="67">
        <f>79970048</f>
        <v>79970048</v>
      </c>
      <c r="P60" s="67">
        <f>81809359</f>
        <v>81809359</v>
      </c>
      <c r="Q60" s="67">
        <f>83690974</f>
        <v>83690974</v>
      </c>
      <c r="R60" s="67">
        <f>85615866</f>
        <v>85615866</v>
      </c>
      <c r="S60" s="67">
        <f>87585031</f>
        <v>87585031</v>
      </c>
      <c r="T60" s="67">
        <f>89511902</f>
        <v>89511902</v>
      </c>
    </row>
    <row r="61" spans="1:21" ht="35.25" customHeight="1">
      <c r="A61" s="61" t="s">
        <v>170</v>
      </c>
      <c r="B61" s="62" t="s">
        <v>171</v>
      </c>
      <c r="C61" s="63">
        <f>9230152.99</f>
        <v>9230152.9900000002</v>
      </c>
      <c r="D61" s="64">
        <f>9476918.73</f>
        <v>9476918.7300000004</v>
      </c>
      <c r="E61" s="64">
        <f>10687068</f>
        <v>10687068</v>
      </c>
      <c r="F61" s="65">
        <f>9280656.1</f>
        <v>9280656.0999999996</v>
      </c>
      <c r="G61" s="66">
        <f>10909358</f>
        <v>10909358</v>
      </c>
      <c r="H61" s="67">
        <f>13222617</f>
        <v>13222617</v>
      </c>
      <c r="I61" s="67">
        <f>15498842</f>
        <v>15498842</v>
      </c>
      <c r="J61" s="67">
        <f>15273813</f>
        <v>15273813</v>
      </c>
      <c r="K61" s="67">
        <f>11544385</f>
        <v>11544385</v>
      </c>
      <c r="L61" s="67">
        <f>11821450</f>
        <v>11821450</v>
      </c>
      <c r="M61" s="67">
        <f>12105165</f>
        <v>12105165</v>
      </c>
      <c r="N61" s="67">
        <f>12395689</f>
        <v>12395689</v>
      </c>
      <c r="O61" s="67">
        <f>12680790</f>
        <v>12680790</v>
      </c>
      <c r="P61" s="67">
        <f>12972448</f>
        <v>12972448</v>
      </c>
      <c r="Q61" s="67">
        <f>13270814</f>
        <v>13270814</v>
      </c>
      <c r="R61" s="67">
        <f>13576043</f>
        <v>13576043</v>
      </c>
      <c r="S61" s="67">
        <f>13888292</f>
        <v>13888292</v>
      </c>
      <c r="T61" s="67">
        <f>14193834</f>
        <v>14193834</v>
      </c>
    </row>
    <row r="62" spans="1:21" ht="29.25" customHeight="1">
      <c r="A62" s="61" t="s">
        <v>172</v>
      </c>
      <c r="B62" s="62" t="s">
        <v>173</v>
      </c>
      <c r="C62" s="63">
        <f>4914281.77</f>
        <v>4914281.7699999996</v>
      </c>
      <c r="D62" s="64">
        <f>4132971.46</f>
        <v>4132971.46</v>
      </c>
      <c r="E62" s="64">
        <f>2318489</f>
        <v>2318489</v>
      </c>
      <c r="F62" s="65">
        <f>2032849.68</f>
        <v>2032849.68</v>
      </c>
      <c r="G62" s="66">
        <f>2794419</f>
        <v>2794419</v>
      </c>
      <c r="H62" s="67">
        <f>3182630</f>
        <v>3182630</v>
      </c>
      <c r="I62" s="67">
        <f>4716998</f>
        <v>4716998</v>
      </c>
      <c r="J62" s="67">
        <f>4216998</f>
        <v>4216998</v>
      </c>
      <c r="K62" s="67">
        <f>0</f>
        <v>0</v>
      </c>
      <c r="L62" s="67">
        <f>0</f>
        <v>0</v>
      </c>
      <c r="M62" s="67">
        <f>0</f>
        <v>0</v>
      </c>
      <c r="N62" s="67">
        <f>0</f>
        <v>0</v>
      </c>
      <c r="O62" s="67">
        <f>0</f>
        <v>0</v>
      </c>
      <c r="P62" s="67">
        <f>0</f>
        <v>0</v>
      </c>
      <c r="Q62" s="67">
        <f>0</f>
        <v>0</v>
      </c>
      <c r="R62" s="67">
        <f>0</f>
        <v>0</v>
      </c>
      <c r="S62" s="67">
        <f>0</f>
        <v>0</v>
      </c>
      <c r="T62" s="67">
        <f>0</f>
        <v>0</v>
      </c>
    </row>
    <row r="63" spans="1:21" ht="16.5" customHeight="1">
      <c r="A63" s="61" t="s">
        <v>174</v>
      </c>
      <c r="B63" s="62" t="s">
        <v>175</v>
      </c>
      <c r="C63" s="63">
        <f>4390388.81</f>
        <v>4390388.8099999996</v>
      </c>
      <c r="D63" s="64">
        <f>1952911.6</f>
        <v>1952911.6</v>
      </c>
      <c r="E63" s="64">
        <f>1989193</f>
        <v>1989193</v>
      </c>
      <c r="F63" s="65">
        <f>1900497.84</f>
        <v>1900497.84</v>
      </c>
      <c r="G63" s="66">
        <f>1883618</f>
        <v>1883618</v>
      </c>
      <c r="H63" s="67">
        <f>305448</f>
        <v>305448</v>
      </c>
      <c r="I63" s="67">
        <f>100000</f>
        <v>100000</v>
      </c>
      <c r="J63" s="67">
        <f>100000</f>
        <v>100000</v>
      </c>
      <c r="K63" s="67">
        <f>0</f>
        <v>0</v>
      </c>
      <c r="L63" s="67">
        <f>0</f>
        <v>0</v>
      </c>
      <c r="M63" s="67">
        <f>0</f>
        <v>0</v>
      </c>
      <c r="N63" s="67">
        <f>0</f>
        <v>0</v>
      </c>
      <c r="O63" s="67">
        <f>0</f>
        <v>0</v>
      </c>
      <c r="P63" s="67">
        <f>0</f>
        <v>0</v>
      </c>
      <c r="Q63" s="67">
        <f>0</f>
        <v>0</v>
      </c>
      <c r="R63" s="67">
        <f>0</f>
        <v>0</v>
      </c>
      <c r="S63" s="67">
        <f>0</f>
        <v>0</v>
      </c>
      <c r="T63" s="67">
        <f>0</f>
        <v>0</v>
      </c>
    </row>
    <row r="64" spans="1:21" ht="16.5" customHeight="1">
      <c r="A64" s="61" t="s">
        <v>176</v>
      </c>
      <c r="B64" s="62" t="s">
        <v>177</v>
      </c>
      <c r="C64" s="63">
        <f>523892.96</f>
        <v>523892.96</v>
      </c>
      <c r="D64" s="64">
        <f>2180059.86</f>
        <v>2180059.86</v>
      </c>
      <c r="E64" s="64">
        <f>329296</f>
        <v>329296</v>
      </c>
      <c r="F64" s="65">
        <f>132351.84</f>
        <v>132351.84</v>
      </c>
      <c r="G64" s="66">
        <f>910801</f>
        <v>910801</v>
      </c>
      <c r="H64" s="67">
        <f>2877182</f>
        <v>2877182</v>
      </c>
      <c r="I64" s="67">
        <f>4616998</f>
        <v>4616998</v>
      </c>
      <c r="J64" s="67">
        <f>4116998</f>
        <v>4116998</v>
      </c>
      <c r="K64" s="67">
        <f>0</f>
        <v>0</v>
      </c>
      <c r="L64" s="67">
        <f>0</f>
        <v>0</v>
      </c>
      <c r="M64" s="67">
        <f>0</f>
        <v>0</v>
      </c>
      <c r="N64" s="67">
        <f>0</f>
        <v>0</v>
      </c>
      <c r="O64" s="67">
        <f>0</f>
        <v>0</v>
      </c>
      <c r="P64" s="67">
        <f>0</f>
        <v>0</v>
      </c>
      <c r="Q64" s="67">
        <f>0</f>
        <v>0</v>
      </c>
      <c r="R64" s="67">
        <f>0</f>
        <v>0</v>
      </c>
      <c r="S64" s="67">
        <f>0</f>
        <v>0</v>
      </c>
      <c r="T64" s="67">
        <f>0</f>
        <v>0</v>
      </c>
    </row>
    <row r="65" spans="1:21" ht="16.5" customHeight="1">
      <c r="A65" s="61" t="s">
        <v>178</v>
      </c>
      <c r="B65" s="62" t="s">
        <v>179</v>
      </c>
      <c r="C65" s="63">
        <f>0</f>
        <v>0</v>
      </c>
      <c r="D65" s="64">
        <f>1199789.35</f>
        <v>1199789.3500000001</v>
      </c>
      <c r="E65" s="64">
        <f>205000</f>
        <v>205000</v>
      </c>
      <c r="F65" s="65">
        <f>35000</f>
        <v>35000</v>
      </c>
      <c r="G65" s="66">
        <f>780000</f>
        <v>780000</v>
      </c>
      <c r="H65" s="67">
        <f>2818683</f>
        <v>2818683</v>
      </c>
      <c r="I65" s="67">
        <f>4500000</f>
        <v>4500000</v>
      </c>
      <c r="J65" s="67">
        <f>4000000</f>
        <v>4000000</v>
      </c>
      <c r="K65" s="67">
        <f>0</f>
        <v>0</v>
      </c>
      <c r="L65" s="67">
        <f>0</f>
        <v>0</v>
      </c>
      <c r="M65" s="67">
        <f>0</f>
        <v>0</v>
      </c>
      <c r="N65" s="67">
        <f>0</f>
        <v>0</v>
      </c>
      <c r="O65" s="67">
        <f>0</f>
        <v>0</v>
      </c>
      <c r="P65" s="67">
        <f>0</f>
        <v>0</v>
      </c>
      <c r="Q65" s="67">
        <f>0</f>
        <v>0</v>
      </c>
      <c r="R65" s="67">
        <f>0</f>
        <v>0</v>
      </c>
      <c r="S65" s="67">
        <f>0</f>
        <v>0</v>
      </c>
      <c r="T65" s="67">
        <f>0</f>
        <v>0</v>
      </c>
    </row>
    <row r="66" spans="1:21" ht="16.5" customHeight="1">
      <c r="A66" s="61" t="s">
        <v>180</v>
      </c>
      <c r="B66" s="62" t="s">
        <v>181</v>
      </c>
      <c r="C66" s="63">
        <f>0</f>
        <v>0</v>
      </c>
      <c r="D66" s="64">
        <f>3800090.8</f>
        <v>3800090.8</v>
      </c>
      <c r="E66" s="64">
        <f>13104507</f>
        <v>13104507</v>
      </c>
      <c r="F66" s="65">
        <f>7323145.22</f>
        <v>7323145.2199999997</v>
      </c>
      <c r="G66" s="66">
        <f>5997312</f>
        <v>5997312</v>
      </c>
      <c r="H66" s="67">
        <f>1108992</f>
        <v>1108992</v>
      </c>
      <c r="I66" s="67">
        <f>661402</f>
        <v>661402</v>
      </c>
      <c r="J66" s="67">
        <f>1812410</f>
        <v>1812410</v>
      </c>
      <c r="K66" s="67">
        <f>6329213</f>
        <v>6329213</v>
      </c>
      <c r="L66" s="67">
        <f>8999774</f>
        <v>8999774</v>
      </c>
      <c r="M66" s="67">
        <f>12066969</f>
        <v>12066969</v>
      </c>
      <c r="N66" s="67">
        <f>14705899</f>
        <v>14705899</v>
      </c>
      <c r="O66" s="67">
        <f>16368732</f>
        <v>16368732</v>
      </c>
      <c r="P66" s="67">
        <f>20515231</f>
        <v>20515231</v>
      </c>
      <c r="Q66" s="67">
        <f>22081573</f>
        <v>22081573</v>
      </c>
      <c r="R66" s="67">
        <f>24560039</f>
        <v>24560039</v>
      </c>
      <c r="S66" s="67">
        <f>26099591</f>
        <v>26099591</v>
      </c>
      <c r="T66" s="67">
        <f>27840507</f>
        <v>27840507</v>
      </c>
    </row>
    <row r="67" spans="1:21" ht="16.5" customHeight="1">
      <c r="A67" s="61" t="s">
        <v>182</v>
      </c>
      <c r="B67" s="62" t="s">
        <v>183</v>
      </c>
      <c r="C67" s="63">
        <f>163142.24</f>
        <v>163142.24</v>
      </c>
      <c r="D67" s="64">
        <f>980270.51</f>
        <v>980270.51</v>
      </c>
      <c r="E67" s="64">
        <f>161796</f>
        <v>161796</v>
      </c>
      <c r="F67" s="65">
        <f>133351.84</f>
        <v>133351.84</v>
      </c>
      <c r="G67" s="66">
        <f>153801</f>
        <v>153801</v>
      </c>
      <c r="H67" s="67">
        <f>100000</f>
        <v>100000</v>
      </c>
      <c r="I67" s="67">
        <f>116998</f>
        <v>116998</v>
      </c>
      <c r="J67" s="67">
        <f>116998</f>
        <v>116998</v>
      </c>
      <c r="K67" s="67">
        <f t="shared" ref="K67:T67" si="12">100000</f>
        <v>100000</v>
      </c>
      <c r="L67" s="67">
        <f t="shared" si="12"/>
        <v>100000</v>
      </c>
      <c r="M67" s="67">
        <f t="shared" si="12"/>
        <v>100000</v>
      </c>
      <c r="N67" s="67">
        <f t="shared" si="12"/>
        <v>100000</v>
      </c>
      <c r="O67" s="67">
        <f t="shared" si="12"/>
        <v>100000</v>
      </c>
      <c r="P67" s="67">
        <f t="shared" si="12"/>
        <v>100000</v>
      </c>
      <c r="Q67" s="67">
        <f t="shared" si="12"/>
        <v>100000</v>
      </c>
      <c r="R67" s="67">
        <f t="shared" si="12"/>
        <v>100000</v>
      </c>
      <c r="S67" s="67">
        <f t="shared" si="12"/>
        <v>100000</v>
      </c>
      <c r="T67" s="67">
        <f t="shared" si="12"/>
        <v>100000</v>
      </c>
    </row>
    <row r="68" spans="1:21" ht="51" customHeight="1">
      <c r="A68" s="53">
        <v>12</v>
      </c>
      <c r="B68" s="54" t="s">
        <v>184</v>
      </c>
      <c r="C68" s="68" t="s">
        <v>140</v>
      </c>
      <c r="D68" s="69" t="s">
        <v>140</v>
      </c>
      <c r="E68" s="69" t="s">
        <v>140</v>
      </c>
      <c r="F68" s="70" t="s">
        <v>140</v>
      </c>
      <c r="G68" s="71" t="s">
        <v>140</v>
      </c>
      <c r="H68" s="72" t="s">
        <v>140</v>
      </c>
      <c r="I68" s="72" t="s">
        <v>140</v>
      </c>
      <c r="J68" s="72" t="s">
        <v>140</v>
      </c>
      <c r="K68" s="72" t="s">
        <v>140</v>
      </c>
      <c r="L68" s="72" t="s">
        <v>140</v>
      </c>
      <c r="M68" s="72" t="s">
        <v>140</v>
      </c>
      <c r="N68" s="72" t="s">
        <v>140</v>
      </c>
      <c r="O68" s="72" t="s">
        <v>140</v>
      </c>
      <c r="P68" s="72" t="s">
        <v>140</v>
      </c>
      <c r="Q68" s="72" t="s">
        <v>140</v>
      </c>
      <c r="R68" s="72" t="s">
        <v>140</v>
      </c>
      <c r="S68" s="72" t="s">
        <v>140</v>
      </c>
      <c r="T68" s="72" t="s">
        <v>140</v>
      </c>
      <c r="U68" s="60"/>
    </row>
    <row r="69" spans="1:21" ht="50.25" customHeight="1">
      <c r="A69" s="61" t="s">
        <v>185</v>
      </c>
      <c r="B69" s="62" t="s">
        <v>186</v>
      </c>
      <c r="C69" s="63">
        <f>2594757.59</f>
        <v>2594757.59</v>
      </c>
      <c r="D69" s="64">
        <f>2051828.86</f>
        <v>2051828.86</v>
      </c>
      <c r="E69" s="64">
        <f>1846946</f>
        <v>1846946</v>
      </c>
      <c r="F69" s="65">
        <f>1760525.6</f>
        <v>1760525.6</v>
      </c>
      <c r="G69" s="66">
        <f>1609117</f>
        <v>1609117</v>
      </c>
      <c r="H69" s="67">
        <f>354655</f>
        <v>354655</v>
      </c>
      <c r="I69" s="67">
        <f>0</f>
        <v>0</v>
      </c>
      <c r="J69" s="67">
        <f>0</f>
        <v>0</v>
      </c>
      <c r="K69" s="67">
        <f>0</f>
        <v>0</v>
      </c>
      <c r="L69" s="67">
        <f>0</f>
        <v>0</v>
      </c>
      <c r="M69" s="67">
        <f>0</f>
        <v>0</v>
      </c>
      <c r="N69" s="67">
        <f>0</f>
        <v>0</v>
      </c>
      <c r="O69" s="67">
        <f>0</f>
        <v>0</v>
      </c>
      <c r="P69" s="67">
        <f>0</f>
        <v>0</v>
      </c>
      <c r="Q69" s="67">
        <f>0</f>
        <v>0</v>
      </c>
      <c r="R69" s="67">
        <f>0</f>
        <v>0</v>
      </c>
      <c r="S69" s="67">
        <f>0</f>
        <v>0</v>
      </c>
      <c r="T69" s="67">
        <f>0</f>
        <v>0</v>
      </c>
    </row>
    <row r="70" spans="1:21" ht="27.75" customHeight="1">
      <c r="A70" s="61" t="s">
        <v>187</v>
      </c>
      <c r="B70" s="81" t="s">
        <v>188</v>
      </c>
      <c r="C70" s="63">
        <f>2195410.47</f>
        <v>2195410.4700000002</v>
      </c>
      <c r="D70" s="64">
        <f>1843071.69</f>
        <v>1843071.69</v>
      </c>
      <c r="E70" s="64">
        <f>1659670</f>
        <v>1659670</v>
      </c>
      <c r="F70" s="65">
        <f>1577486.27</f>
        <v>1577486.27</v>
      </c>
      <c r="G70" s="66">
        <f>1529131</f>
        <v>1529131</v>
      </c>
      <c r="H70" s="67">
        <f>332274</f>
        <v>332274</v>
      </c>
      <c r="I70" s="67">
        <f>0</f>
        <v>0</v>
      </c>
      <c r="J70" s="67">
        <f>0</f>
        <v>0</v>
      </c>
      <c r="K70" s="67">
        <f>0</f>
        <v>0</v>
      </c>
      <c r="L70" s="67">
        <f>0</f>
        <v>0</v>
      </c>
      <c r="M70" s="67">
        <f>0</f>
        <v>0</v>
      </c>
      <c r="N70" s="67">
        <f>0</f>
        <v>0</v>
      </c>
      <c r="O70" s="67">
        <f>0</f>
        <v>0</v>
      </c>
      <c r="P70" s="67">
        <f>0</f>
        <v>0</v>
      </c>
      <c r="Q70" s="67">
        <f>0</f>
        <v>0</v>
      </c>
      <c r="R70" s="67">
        <f>0</f>
        <v>0</v>
      </c>
      <c r="S70" s="67">
        <f>0</f>
        <v>0</v>
      </c>
      <c r="T70" s="67">
        <f>0</f>
        <v>0</v>
      </c>
    </row>
    <row r="71" spans="1:21" ht="51.75" customHeight="1">
      <c r="A71" s="61" t="s">
        <v>189</v>
      </c>
      <c r="B71" s="81" t="s">
        <v>190</v>
      </c>
      <c r="C71" s="63">
        <f>2195410.47</f>
        <v>2195410.4700000002</v>
      </c>
      <c r="D71" s="64">
        <f>1843071.69</f>
        <v>1843071.69</v>
      </c>
      <c r="E71" s="64">
        <f>1659670</f>
        <v>1659670</v>
      </c>
      <c r="F71" s="65">
        <f>1577486.27</f>
        <v>1577486.27</v>
      </c>
      <c r="G71" s="66">
        <f>1529131</f>
        <v>1529131</v>
      </c>
      <c r="H71" s="67">
        <f>332274</f>
        <v>332274</v>
      </c>
      <c r="I71" s="67">
        <f>0</f>
        <v>0</v>
      </c>
      <c r="J71" s="67">
        <f>0</f>
        <v>0</v>
      </c>
      <c r="K71" s="67">
        <f>0</f>
        <v>0</v>
      </c>
      <c r="L71" s="67">
        <f>0</f>
        <v>0</v>
      </c>
      <c r="M71" s="67">
        <f>0</f>
        <v>0</v>
      </c>
      <c r="N71" s="67">
        <f>0</f>
        <v>0</v>
      </c>
      <c r="O71" s="67">
        <f>0</f>
        <v>0</v>
      </c>
      <c r="P71" s="67">
        <f>0</f>
        <v>0</v>
      </c>
      <c r="Q71" s="67">
        <f>0</f>
        <v>0</v>
      </c>
      <c r="R71" s="67">
        <f>0</f>
        <v>0</v>
      </c>
      <c r="S71" s="67">
        <f>0</f>
        <v>0</v>
      </c>
      <c r="T71" s="67">
        <f>0</f>
        <v>0</v>
      </c>
    </row>
    <row r="72" spans="1:21" ht="51" customHeight="1">
      <c r="A72" s="61" t="s">
        <v>191</v>
      </c>
      <c r="B72" s="62" t="s">
        <v>192</v>
      </c>
      <c r="C72" s="63">
        <f>434047.72</f>
        <v>434047.72</v>
      </c>
      <c r="D72" s="64">
        <f>0</f>
        <v>0</v>
      </c>
      <c r="E72" s="64">
        <f>0</f>
        <v>0</v>
      </c>
      <c r="F72" s="65">
        <f>0</f>
        <v>0</v>
      </c>
      <c r="G72" s="66">
        <f>0</f>
        <v>0</v>
      </c>
      <c r="H72" s="67">
        <f>0</f>
        <v>0</v>
      </c>
      <c r="I72" s="67">
        <f>0</f>
        <v>0</v>
      </c>
      <c r="J72" s="67">
        <f>0</f>
        <v>0</v>
      </c>
      <c r="K72" s="67">
        <f>0</f>
        <v>0</v>
      </c>
      <c r="L72" s="67">
        <f>0</f>
        <v>0</v>
      </c>
      <c r="M72" s="67">
        <f>0</f>
        <v>0</v>
      </c>
      <c r="N72" s="67">
        <f>0</f>
        <v>0</v>
      </c>
      <c r="O72" s="67">
        <f>0</f>
        <v>0</v>
      </c>
      <c r="P72" s="67">
        <f>0</f>
        <v>0</v>
      </c>
      <c r="Q72" s="67">
        <f>0</f>
        <v>0</v>
      </c>
      <c r="R72" s="67">
        <f>0</f>
        <v>0</v>
      </c>
      <c r="S72" s="67">
        <f>0</f>
        <v>0</v>
      </c>
      <c r="T72" s="67">
        <f>0</f>
        <v>0</v>
      </c>
    </row>
    <row r="73" spans="1:21" ht="28.5" customHeight="1">
      <c r="A73" s="61" t="s">
        <v>193</v>
      </c>
      <c r="B73" s="81" t="s">
        <v>188</v>
      </c>
      <c r="C73" s="63">
        <f>434047.72</f>
        <v>434047.72</v>
      </c>
      <c r="D73" s="64">
        <f>0</f>
        <v>0</v>
      </c>
      <c r="E73" s="64">
        <f>0</f>
        <v>0</v>
      </c>
      <c r="F73" s="65">
        <f>0</f>
        <v>0</v>
      </c>
      <c r="G73" s="66">
        <f>0</f>
        <v>0</v>
      </c>
      <c r="H73" s="67">
        <f>0</f>
        <v>0</v>
      </c>
      <c r="I73" s="67">
        <f>0</f>
        <v>0</v>
      </c>
      <c r="J73" s="67">
        <f>0</f>
        <v>0</v>
      </c>
      <c r="K73" s="67">
        <f>0</f>
        <v>0</v>
      </c>
      <c r="L73" s="67">
        <f>0</f>
        <v>0</v>
      </c>
      <c r="M73" s="67">
        <f>0</f>
        <v>0</v>
      </c>
      <c r="N73" s="67">
        <f>0</f>
        <v>0</v>
      </c>
      <c r="O73" s="67">
        <f>0</f>
        <v>0</v>
      </c>
      <c r="P73" s="67">
        <f>0</f>
        <v>0</v>
      </c>
      <c r="Q73" s="67">
        <f>0</f>
        <v>0</v>
      </c>
      <c r="R73" s="67">
        <f>0</f>
        <v>0</v>
      </c>
      <c r="S73" s="67">
        <f>0</f>
        <v>0</v>
      </c>
      <c r="T73" s="67">
        <f>0</f>
        <v>0</v>
      </c>
    </row>
    <row r="74" spans="1:21" ht="51.75" customHeight="1">
      <c r="A74" s="61" t="s">
        <v>194</v>
      </c>
      <c r="B74" s="81" t="s">
        <v>195</v>
      </c>
      <c r="C74" s="63">
        <f>434047.72</f>
        <v>434047.72</v>
      </c>
      <c r="D74" s="64">
        <f>0</f>
        <v>0</v>
      </c>
      <c r="E74" s="64">
        <f>0</f>
        <v>0</v>
      </c>
      <c r="F74" s="65">
        <f>0</f>
        <v>0</v>
      </c>
      <c r="G74" s="66">
        <f>0</f>
        <v>0</v>
      </c>
      <c r="H74" s="67">
        <f>0</f>
        <v>0</v>
      </c>
      <c r="I74" s="67">
        <f>0</f>
        <v>0</v>
      </c>
      <c r="J74" s="67">
        <f>0</f>
        <v>0</v>
      </c>
      <c r="K74" s="67">
        <f>0</f>
        <v>0</v>
      </c>
      <c r="L74" s="67">
        <f>0</f>
        <v>0</v>
      </c>
      <c r="M74" s="67">
        <f>0</f>
        <v>0</v>
      </c>
      <c r="N74" s="67">
        <f>0</f>
        <v>0</v>
      </c>
      <c r="O74" s="67">
        <f>0</f>
        <v>0</v>
      </c>
      <c r="P74" s="67">
        <f>0</f>
        <v>0</v>
      </c>
      <c r="Q74" s="67">
        <f>0</f>
        <v>0</v>
      </c>
      <c r="R74" s="67">
        <f>0</f>
        <v>0</v>
      </c>
      <c r="S74" s="67">
        <f>0</f>
        <v>0</v>
      </c>
      <c r="T74" s="67">
        <f>0</f>
        <v>0</v>
      </c>
    </row>
    <row r="75" spans="1:21" ht="50.25" customHeight="1">
      <c r="A75" s="61" t="s">
        <v>196</v>
      </c>
      <c r="B75" s="62" t="s">
        <v>197</v>
      </c>
      <c r="C75" s="63">
        <f>2600626.55</f>
        <v>2600626.5499999998</v>
      </c>
      <c r="D75" s="64">
        <f>1952911.6</f>
        <v>1952911.6</v>
      </c>
      <c r="E75" s="64">
        <f>1949193</f>
        <v>1949193</v>
      </c>
      <c r="F75" s="65">
        <f>1860497.84</f>
        <v>1860497.84</v>
      </c>
      <c r="G75" s="66">
        <f>1805618</f>
        <v>1805618</v>
      </c>
      <c r="H75" s="67">
        <f>205448</f>
        <v>205448</v>
      </c>
      <c r="I75" s="67">
        <f>0</f>
        <v>0</v>
      </c>
      <c r="J75" s="67">
        <f>0</f>
        <v>0</v>
      </c>
      <c r="K75" s="67">
        <f>0</f>
        <v>0</v>
      </c>
      <c r="L75" s="67">
        <f>0</f>
        <v>0</v>
      </c>
      <c r="M75" s="67">
        <f>0</f>
        <v>0</v>
      </c>
      <c r="N75" s="67">
        <f>0</f>
        <v>0</v>
      </c>
      <c r="O75" s="67">
        <f>0</f>
        <v>0</v>
      </c>
      <c r="P75" s="67">
        <f>0</f>
        <v>0</v>
      </c>
      <c r="Q75" s="67">
        <f>0</f>
        <v>0</v>
      </c>
      <c r="R75" s="67">
        <f>0</f>
        <v>0</v>
      </c>
      <c r="S75" s="67">
        <f>0</f>
        <v>0</v>
      </c>
      <c r="T75" s="67">
        <f>0</f>
        <v>0</v>
      </c>
    </row>
    <row r="76" spans="1:21" ht="30" customHeight="1">
      <c r="A76" s="61" t="s">
        <v>198</v>
      </c>
      <c r="B76" s="81" t="s">
        <v>199</v>
      </c>
      <c r="C76" s="63">
        <f>2145886.3</f>
        <v>2145886.2999999998</v>
      </c>
      <c r="D76" s="64">
        <f>1719728.07</f>
        <v>1719728.07</v>
      </c>
      <c r="E76" s="64">
        <f>1659670</f>
        <v>1659670</v>
      </c>
      <c r="F76" s="65">
        <f>1577486.27</f>
        <v>1577486.27</v>
      </c>
      <c r="G76" s="66">
        <f>1655957</f>
        <v>1655957</v>
      </c>
      <c r="H76" s="67">
        <f>205448</f>
        <v>205448</v>
      </c>
      <c r="I76" s="67">
        <f>0</f>
        <v>0</v>
      </c>
      <c r="J76" s="67">
        <f>0</f>
        <v>0</v>
      </c>
      <c r="K76" s="67">
        <f>0</f>
        <v>0</v>
      </c>
      <c r="L76" s="67">
        <f>0</f>
        <v>0</v>
      </c>
      <c r="M76" s="67">
        <f>0</f>
        <v>0</v>
      </c>
      <c r="N76" s="67">
        <f>0</f>
        <v>0</v>
      </c>
      <c r="O76" s="67">
        <f>0</f>
        <v>0</v>
      </c>
      <c r="P76" s="67">
        <f>0</f>
        <v>0</v>
      </c>
      <c r="Q76" s="67">
        <f>0</f>
        <v>0</v>
      </c>
      <c r="R76" s="67">
        <f>0</f>
        <v>0</v>
      </c>
      <c r="S76" s="67">
        <f>0</f>
        <v>0</v>
      </c>
      <c r="T76" s="67">
        <f>0</f>
        <v>0</v>
      </c>
    </row>
    <row r="77" spans="1:21" ht="66" customHeight="1">
      <c r="A77" s="61" t="s">
        <v>200</v>
      </c>
      <c r="B77" s="62" t="s">
        <v>201</v>
      </c>
      <c r="C77" s="63">
        <f>2145886.3</f>
        <v>2145886.2999999998</v>
      </c>
      <c r="D77" s="64">
        <f>1719728.07</f>
        <v>1719728.07</v>
      </c>
      <c r="E77" s="64">
        <f>1659670</f>
        <v>1659670</v>
      </c>
      <c r="F77" s="65">
        <f>1577486.27</f>
        <v>1577486.27</v>
      </c>
      <c r="G77" s="66">
        <f>1655957</f>
        <v>1655957</v>
      </c>
      <c r="H77" s="67">
        <f>205448</f>
        <v>205448</v>
      </c>
      <c r="I77" s="67">
        <f>0</f>
        <v>0</v>
      </c>
      <c r="J77" s="67">
        <f>0</f>
        <v>0</v>
      </c>
      <c r="K77" s="67">
        <f>0</f>
        <v>0</v>
      </c>
      <c r="L77" s="67">
        <f>0</f>
        <v>0</v>
      </c>
      <c r="M77" s="67">
        <f>0</f>
        <v>0</v>
      </c>
      <c r="N77" s="67">
        <f>0</f>
        <v>0</v>
      </c>
      <c r="O77" s="67">
        <f>0</f>
        <v>0</v>
      </c>
      <c r="P77" s="67">
        <f>0</f>
        <v>0</v>
      </c>
      <c r="Q77" s="67">
        <f>0</f>
        <v>0</v>
      </c>
      <c r="R77" s="67">
        <f>0</f>
        <v>0</v>
      </c>
      <c r="S77" s="67">
        <f>0</f>
        <v>0</v>
      </c>
      <c r="T77" s="67">
        <f>0</f>
        <v>0</v>
      </c>
    </row>
    <row r="78" spans="1:21" ht="52.5" customHeight="1">
      <c r="A78" s="61" t="s">
        <v>202</v>
      </c>
      <c r="B78" s="62" t="s">
        <v>203</v>
      </c>
      <c r="C78" s="63">
        <f>63142.24</f>
        <v>63142.239999999998</v>
      </c>
      <c r="D78" s="64">
        <f>256135.95</f>
        <v>256135.95</v>
      </c>
      <c r="E78" s="64">
        <f>124296</f>
        <v>124296</v>
      </c>
      <c r="F78" s="65">
        <f>97351.84</f>
        <v>97351.84</v>
      </c>
      <c r="G78" s="66">
        <f>117801</f>
        <v>117801</v>
      </c>
      <c r="H78" s="67">
        <f>58499</f>
        <v>58499</v>
      </c>
      <c r="I78" s="67">
        <f>116998</f>
        <v>116998</v>
      </c>
      <c r="J78" s="67">
        <f>116998</f>
        <v>116998</v>
      </c>
      <c r="K78" s="67">
        <f>0</f>
        <v>0</v>
      </c>
      <c r="L78" s="67">
        <f>0</f>
        <v>0</v>
      </c>
      <c r="M78" s="67">
        <f>0</f>
        <v>0</v>
      </c>
      <c r="N78" s="67">
        <f>0</f>
        <v>0</v>
      </c>
      <c r="O78" s="67">
        <f>0</f>
        <v>0</v>
      </c>
      <c r="P78" s="67">
        <f>0</f>
        <v>0</v>
      </c>
      <c r="Q78" s="67">
        <f>0</f>
        <v>0</v>
      </c>
      <c r="R78" s="67">
        <f>0</f>
        <v>0</v>
      </c>
      <c r="S78" s="67">
        <f>0</f>
        <v>0</v>
      </c>
      <c r="T78" s="67">
        <f>0</f>
        <v>0</v>
      </c>
    </row>
    <row r="79" spans="1:21" ht="29.25" customHeight="1">
      <c r="A79" s="61" t="s">
        <v>204</v>
      </c>
      <c r="B79" s="81" t="s">
        <v>205</v>
      </c>
      <c r="C79" s="63">
        <f>0</f>
        <v>0</v>
      </c>
      <c r="D79" s="64">
        <f>0</f>
        <v>0</v>
      </c>
      <c r="E79" s="64">
        <f>0</f>
        <v>0</v>
      </c>
      <c r="F79" s="65">
        <f>0</f>
        <v>0</v>
      </c>
      <c r="G79" s="66">
        <f>0</f>
        <v>0</v>
      </c>
      <c r="H79" s="67">
        <f>0</f>
        <v>0</v>
      </c>
      <c r="I79" s="67">
        <f>0</f>
        <v>0</v>
      </c>
      <c r="J79" s="67">
        <f>0</f>
        <v>0</v>
      </c>
      <c r="K79" s="67">
        <f>0</f>
        <v>0</v>
      </c>
      <c r="L79" s="67">
        <f>0</f>
        <v>0</v>
      </c>
      <c r="M79" s="67">
        <f>0</f>
        <v>0</v>
      </c>
      <c r="N79" s="67">
        <f>0</f>
        <v>0</v>
      </c>
      <c r="O79" s="67">
        <f>0</f>
        <v>0</v>
      </c>
      <c r="P79" s="67">
        <f>0</f>
        <v>0</v>
      </c>
      <c r="Q79" s="67">
        <f>0</f>
        <v>0</v>
      </c>
      <c r="R79" s="67">
        <f>0</f>
        <v>0</v>
      </c>
      <c r="S79" s="67">
        <f>0</f>
        <v>0</v>
      </c>
      <c r="T79" s="67">
        <f>0</f>
        <v>0</v>
      </c>
    </row>
    <row r="80" spans="1:21" ht="72.75" customHeight="1">
      <c r="A80" s="61" t="s">
        <v>206</v>
      </c>
      <c r="B80" s="62" t="s">
        <v>207</v>
      </c>
      <c r="C80" s="63">
        <f>0</f>
        <v>0</v>
      </c>
      <c r="D80" s="64">
        <f>0</f>
        <v>0</v>
      </c>
      <c r="E80" s="64">
        <f>0</f>
        <v>0</v>
      </c>
      <c r="F80" s="65">
        <f>0</f>
        <v>0</v>
      </c>
      <c r="G80" s="66">
        <f>0</f>
        <v>0</v>
      </c>
      <c r="H80" s="67">
        <f>0</f>
        <v>0</v>
      </c>
      <c r="I80" s="67">
        <f>0</f>
        <v>0</v>
      </c>
      <c r="J80" s="67">
        <f>0</f>
        <v>0</v>
      </c>
      <c r="K80" s="67">
        <f>0</f>
        <v>0</v>
      </c>
      <c r="L80" s="67">
        <f>0</f>
        <v>0</v>
      </c>
      <c r="M80" s="67">
        <f>0</f>
        <v>0</v>
      </c>
      <c r="N80" s="67">
        <f>0</f>
        <v>0</v>
      </c>
      <c r="O80" s="67">
        <f>0</f>
        <v>0</v>
      </c>
      <c r="P80" s="67">
        <f>0</f>
        <v>0</v>
      </c>
      <c r="Q80" s="67">
        <f>0</f>
        <v>0</v>
      </c>
      <c r="R80" s="67">
        <f>0</f>
        <v>0</v>
      </c>
      <c r="S80" s="67">
        <f>0</f>
        <v>0</v>
      </c>
      <c r="T80" s="67">
        <f>0</f>
        <v>0</v>
      </c>
    </row>
    <row r="81" spans="1:21" ht="78" customHeight="1">
      <c r="A81" s="61" t="s">
        <v>208</v>
      </c>
      <c r="B81" s="62" t="s">
        <v>209</v>
      </c>
      <c r="C81" s="63">
        <f>517882.49</f>
        <v>517882.49</v>
      </c>
      <c r="D81" s="64">
        <f>489319.48</f>
        <v>489319.48</v>
      </c>
      <c r="E81" s="64">
        <f>413819</f>
        <v>413819</v>
      </c>
      <c r="F81" s="65">
        <f>380363.41</f>
        <v>380363.41</v>
      </c>
      <c r="G81" s="66">
        <f>267462</f>
        <v>267462</v>
      </c>
      <c r="H81" s="67">
        <f>58499</f>
        <v>58499</v>
      </c>
      <c r="I81" s="67">
        <f t="shared" ref="I81:J84" si="13">116998</f>
        <v>116998</v>
      </c>
      <c r="J81" s="67">
        <f t="shared" si="13"/>
        <v>116998</v>
      </c>
      <c r="K81" s="67">
        <f>0</f>
        <v>0</v>
      </c>
      <c r="L81" s="67">
        <f>0</f>
        <v>0</v>
      </c>
      <c r="M81" s="67">
        <f>0</f>
        <v>0</v>
      </c>
      <c r="N81" s="67">
        <f>0</f>
        <v>0</v>
      </c>
      <c r="O81" s="67">
        <f>0</f>
        <v>0</v>
      </c>
      <c r="P81" s="67">
        <f>0</f>
        <v>0</v>
      </c>
      <c r="Q81" s="67">
        <f>0</f>
        <v>0</v>
      </c>
      <c r="R81" s="67">
        <f>0</f>
        <v>0</v>
      </c>
      <c r="S81" s="67">
        <f>0</f>
        <v>0</v>
      </c>
      <c r="T81" s="67">
        <f>0</f>
        <v>0</v>
      </c>
    </row>
    <row r="82" spans="1:21" ht="30.75" customHeight="1">
      <c r="A82" s="61" t="s">
        <v>210</v>
      </c>
      <c r="B82" s="62" t="s">
        <v>211</v>
      </c>
      <c r="C82" s="63">
        <f>517882.49</f>
        <v>517882.49</v>
      </c>
      <c r="D82" s="64">
        <f>489319.48</f>
        <v>489319.48</v>
      </c>
      <c r="E82" s="64">
        <f>413819</f>
        <v>413819</v>
      </c>
      <c r="F82" s="65">
        <f>380363.41</f>
        <v>380363.41</v>
      </c>
      <c r="G82" s="66">
        <f>267462</f>
        <v>267462</v>
      </c>
      <c r="H82" s="67">
        <f>58499</f>
        <v>58499</v>
      </c>
      <c r="I82" s="67">
        <f t="shared" si="13"/>
        <v>116998</v>
      </c>
      <c r="J82" s="67">
        <f t="shared" si="13"/>
        <v>116998</v>
      </c>
      <c r="K82" s="67">
        <f>0</f>
        <v>0</v>
      </c>
      <c r="L82" s="67">
        <f>0</f>
        <v>0</v>
      </c>
      <c r="M82" s="67">
        <f>0</f>
        <v>0</v>
      </c>
      <c r="N82" s="67">
        <f>0</f>
        <v>0</v>
      </c>
      <c r="O82" s="67">
        <f>0</f>
        <v>0</v>
      </c>
      <c r="P82" s="67">
        <f>0</f>
        <v>0</v>
      </c>
      <c r="Q82" s="67">
        <f>0</f>
        <v>0</v>
      </c>
      <c r="R82" s="67">
        <f>0</f>
        <v>0</v>
      </c>
      <c r="S82" s="67">
        <f>0</f>
        <v>0</v>
      </c>
      <c r="T82" s="67">
        <f>0</f>
        <v>0</v>
      </c>
    </row>
    <row r="83" spans="1:21" ht="76.5" customHeight="1">
      <c r="A83" s="61" t="s">
        <v>212</v>
      </c>
      <c r="B83" s="62" t="s">
        <v>213</v>
      </c>
      <c r="C83" s="63">
        <f>0</f>
        <v>0</v>
      </c>
      <c r="D83" s="64">
        <f>0</f>
        <v>0</v>
      </c>
      <c r="E83" s="64">
        <f>131439</f>
        <v>131439</v>
      </c>
      <c r="F83" s="65">
        <f>131162.93</f>
        <v>131162.93</v>
      </c>
      <c r="G83" s="66">
        <f>49371</f>
        <v>49371</v>
      </c>
      <c r="H83" s="67">
        <f>58499</f>
        <v>58499</v>
      </c>
      <c r="I83" s="67">
        <f t="shared" si="13"/>
        <v>116998</v>
      </c>
      <c r="J83" s="67">
        <f t="shared" si="13"/>
        <v>116998</v>
      </c>
      <c r="K83" s="67">
        <f>0</f>
        <v>0</v>
      </c>
      <c r="L83" s="67">
        <f>0</f>
        <v>0</v>
      </c>
      <c r="M83" s="67">
        <f>0</f>
        <v>0</v>
      </c>
      <c r="N83" s="67">
        <f>0</f>
        <v>0</v>
      </c>
      <c r="O83" s="67">
        <f>0</f>
        <v>0</v>
      </c>
      <c r="P83" s="67">
        <f>0</f>
        <v>0</v>
      </c>
      <c r="Q83" s="67">
        <f>0</f>
        <v>0</v>
      </c>
      <c r="R83" s="67">
        <f>0</f>
        <v>0</v>
      </c>
      <c r="S83" s="67">
        <f>0</f>
        <v>0</v>
      </c>
      <c r="T83" s="67">
        <f>0</f>
        <v>0</v>
      </c>
    </row>
    <row r="84" spans="1:21" ht="30.75" customHeight="1">
      <c r="A84" s="61" t="s">
        <v>214</v>
      </c>
      <c r="B84" s="62" t="s">
        <v>211</v>
      </c>
      <c r="C84" s="63">
        <f>0</f>
        <v>0</v>
      </c>
      <c r="D84" s="64">
        <f>0</f>
        <v>0</v>
      </c>
      <c r="E84" s="64">
        <f>131439</f>
        <v>131439</v>
      </c>
      <c r="F84" s="65">
        <f>131162.93</f>
        <v>131162.93</v>
      </c>
      <c r="G84" s="66">
        <f>49371</f>
        <v>49371</v>
      </c>
      <c r="H84" s="67">
        <f>58499</f>
        <v>58499</v>
      </c>
      <c r="I84" s="67">
        <f t="shared" si="13"/>
        <v>116998</v>
      </c>
      <c r="J84" s="67">
        <f t="shared" si="13"/>
        <v>116998</v>
      </c>
      <c r="K84" s="67">
        <f>0</f>
        <v>0</v>
      </c>
      <c r="L84" s="67">
        <f>0</f>
        <v>0</v>
      </c>
      <c r="M84" s="67">
        <f>0</f>
        <v>0</v>
      </c>
      <c r="N84" s="67">
        <f>0</f>
        <v>0</v>
      </c>
      <c r="O84" s="67">
        <f>0</f>
        <v>0</v>
      </c>
      <c r="P84" s="67">
        <f>0</f>
        <v>0</v>
      </c>
      <c r="Q84" s="67">
        <f>0</f>
        <v>0</v>
      </c>
      <c r="R84" s="67">
        <f>0</f>
        <v>0</v>
      </c>
      <c r="S84" s="67">
        <f>0</f>
        <v>0</v>
      </c>
      <c r="T84" s="67">
        <f>0</f>
        <v>0</v>
      </c>
    </row>
    <row r="85" spans="1:21" ht="95.25" customHeight="1">
      <c r="A85" s="61" t="s">
        <v>215</v>
      </c>
      <c r="B85" s="62" t="s">
        <v>216</v>
      </c>
      <c r="C85" s="63">
        <f>0</f>
        <v>0</v>
      </c>
      <c r="D85" s="64">
        <f>0</f>
        <v>0</v>
      </c>
      <c r="E85" s="64">
        <f>0</f>
        <v>0</v>
      </c>
      <c r="F85" s="65">
        <f>0</f>
        <v>0</v>
      </c>
      <c r="G85" s="66">
        <f>0</f>
        <v>0</v>
      </c>
      <c r="H85" s="67">
        <f>0</f>
        <v>0</v>
      </c>
      <c r="I85" s="67">
        <f>0</f>
        <v>0</v>
      </c>
      <c r="J85" s="67">
        <f>0</f>
        <v>0</v>
      </c>
      <c r="K85" s="67">
        <f>0</f>
        <v>0</v>
      </c>
      <c r="L85" s="67">
        <f>0</f>
        <v>0</v>
      </c>
      <c r="M85" s="67">
        <f>0</f>
        <v>0</v>
      </c>
      <c r="N85" s="67">
        <f>0</f>
        <v>0</v>
      </c>
      <c r="O85" s="67">
        <f>0</f>
        <v>0</v>
      </c>
      <c r="P85" s="67">
        <f>0</f>
        <v>0</v>
      </c>
      <c r="Q85" s="67">
        <f>0</f>
        <v>0</v>
      </c>
      <c r="R85" s="67">
        <f>0</f>
        <v>0</v>
      </c>
      <c r="S85" s="67">
        <f>0</f>
        <v>0</v>
      </c>
      <c r="T85" s="67">
        <f>0</f>
        <v>0</v>
      </c>
    </row>
    <row r="86" spans="1:21" ht="27.75" customHeight="1">
      <c r="A86" s="61" t="s">
        <v>217</v>
      </c>
      <c r="B86" s="62" t="s">
        <v>211</v>
      </c>
      <c r="C86" s="63">
        <f>0</f>
        <v>0</v>
      </c>
      <c r="D86" s="64">
        <f>0</f>
        <v>0</v>
      </c>
      <c r="E86" s="64">
        <f>0</f>
        <v>0</v>
      </c>
      <c r="F86" s="65">
        <f>0</f>
        <v>0</v>
      </c>
      <c r="G86" s="66">
        <f>0</f>
        <v>0</v>
      </c>
      <c r="H86" s="67">
        <f>0</f>
        <v>0</v>
      </c>
      <c r="I86" s="67">
        <f>0</f>
        <v>0</v>
      </c>
      <c r="J86" s="67">
        <f>0</f>
        <v>0</v>
      </c>
      <c r="K86" s="67">
        <f>0</f>
        <v>0</v>
      </c>
      <c r="L86" s="67">
        <f>0</f>
        <v>0</v>
      </c>
      <c r="M86" s="67">
        <f>0</f>
        <v>0</v>
      </c>
      <c r="N86" s="67">
        <f>0</f>
        <v>0</v>
      </c>
      <c r="O86" s="67">
        <f>0</f>
        <v>0</v>
      </c>
      <c r="P86" s="67">
        <f>0</f>
        <v>0</v>
      </c>
      <c r="Q86" s="67">
        <f>0</f>
        <v>0</v>
      </c>
      <c r="R86" s="67">
        <f>0</f>
        <v>0</v>
      </c>
      <c r="S86" s="67">
        <f>0</f>
        <v>0</v>
      </c>
      <c r="T86" s="67">
        <f>0</f>
        <v>0</v>
      </c>
    </row>
    <row r="87" spans="1:21" ht="96.75" customHeight="1">
      <c r="A87" s="61" t="s">
        <v>218</v>
      </c>
      <c r="B87" s="62" t="s">
        <v>219</v>
      </c>
      <c r="C87" s="63">
        <f>0</f>
        <v>0</v>
      </c>
      <c r="D87" s="64">
        <f>0</f>
        <v>0</v>
      </c>
      <c r="E87" s="64">
        <f>0</f>
        <v>0</v>
      </c>
      <c r="F87" s="65">
        <f>0</f>
        <v>0</v>
      </c>
      <c r="G87" s="66">
        <f>0</f>
        <v>0</v>
      </c>
      <c r="H87" s="67">
        <f>0</f>
        <v>0</v>
      </c>
      <c r="I87" s="67">
        <f>0</f>
        <v>0</v>
      </c>
      <c r="J87" s="67">
        <f>0</f>
        <v>0</v>
      </c>
      <c r="K87" s="67">
        <f>0</f>
        <v>0</v>
      </c>
      <c r="L87" s="67">
        <f>0</f>
        <v>0</v>
      </c>
      <c r="M87" s="67">
        <f>0</f>
        <v>0</v>
      </c>
      <c r="N87" s="67">
        <f>0</f>
        <v>0</v>
      </c>
      <c r="O87" s="67">
        <f>0</f>
        <v>0</v>
      </c>
      <c r="P87" s="67">
        <f>0</f>
        <v>0</v>
      </c>
      <c r="Q87" s="67">
        <f>0</f>
        <v>0</v>
      </c>
      <c r="R87" s="67">
        <f>0</f>
        <v>0</v>
      </c>
      <c r="S87" s="67">
        <f>0</f>
        <v>0</v>
      </c>
      <c r="T87" s="67">
        <f>0</f>
        <v>0</v>
      </c>
    </row>
    <row r="88" spans="1:21" ht="27" customHeight="1">
      <c r="A88" s="61" t="s">
        <v>220</v>
      </c>
      <c r="B88" s="62" t="s">
        <v>211</v>
      </c>
      <c r="C88" s="63">
        <f>0</f>
        <v>0</v>
      </c>
      <c r="D88" s="64">
        <f>0</f>
        <v>0</v>
      </c>
      <c r="E88" s="64">
        <f>0</f>
        <v>0</v>
      </c>
      <c r="F88" s="65">
        <f>0</f>
        <v>0</v>
      </c>
      <c r="G88" s="66">
        <f>0</f>
        <v>0</v>
      </c>
      <c r="H88" s="67">
        <f>0</f>
        <v>0</v>
      </c>
      <c r="I88" s="67">
        <f>0</f>
        <v>0</v>
      </c>
      <c r="J88" s="67">
        <f>0</f>
        <v>0</v>
      </c>
      <c r="K88" s="67">
        <f>0</f>
        <v>0</v>
      </c>
      <c r="L88" s="67">
        <f>0</f>
        <v>0</v>
      </c>
      <c r="M88" s="67">
        <f>0</f>
        <v>0</v>
      </c>
      <c r="N88" s="67">
        <f>0</f>
        <v>0</v>
      </c>
      <c r="O88" s="67">
        <f>0</f>
        <v>0</v>
      </c>
      <c r="P88" s="67">
        <f>0</f>
        <v>0</v>
      </c>
      <c r="Q88" s="67">
        <f>0</f>
        <v>0</v>
      </c>
      <c r="R88" s="67">
        <f>0</f>
        <v>0</v>
      </c>
      <c r="S88" s="67">
        <f>0</f>
        <v>0</v>
      </c>
      <c r="T88" s="67">
        <f>0</f>
        <v>0</v>
      </c>
    </row>
    <row r="89" spans="1:21" ht="60" customHeight="1">
      <c r="A89" s="53">
        <v>13</v>
      </c>
      <c r="B89" s="54" t="s">
        <v>221</v>
      </c>
      <c r="C89" s="68" t="s">
        <v>140</v>
      </c>
      <c r="D89" s="69" t="s">
        <v>140</v>
      </c>
      <c r="E89" s="69" t="s">
        <v>140</v>
      </c>
      <c r="F89" s="70" t="s">
        <v>140</v>
      </c>
      <c r="G89" s="71" t="s">
        <v>140</v>
      </c>
      <c r="H89" s="72" t="s">
        <v>140</v>
      </c>
      <c r="I89" s="72" t="s">
        <v>140</v>
      </c>
      <c r="J89" s="72" t="s">
        <v>140</v>
      </c>
      <c r="K89" s="72" t="s">
        <v>140</v>
      </c>
      <c r="L89" s="72" t="s">
        <v>140</v>
      </c>
      <c r="M89" s="72" t="s">
        <v>140</v>
      </c>
      <c r="N89" s="72" t="s">
        <v>140</v>
      </c>
      <c r="O89" s="72" t="s">
        <v>140</v>
      </c>
      <c r="P89" s="72" t="s">
        <v>140</v>
      </c>
      <c r="Q89" s="72" t="s">
        <v>140</v>
      </c>
      <c r="R89" s="72" t="s">
        <v>140</v>
      </c>
      <c r="S89" s="72" t="s">
        <v>140</v>
      </c>
      <c r="T89" s="72" t="s">
        <v>140</v>
      </c>
      <c r="U89" s="60"/>
    </row>
    <row r="90" spans="1:21" ht="71.25" customHeight="1">
      <c r="A90" s="61" t="s">
        <v>222</v>
      </c>
      <c r="B90" s="62" t="s">
        <v>223</v>
      </c>
      <c r="C90" s="63">
        <f>35694240.54</f>
        <v>35694240.539999999</v>
      </c>
      <c r="D90" s="64">
        <f>7461502.27</f>
        <v>7461502.2699999996</v>
      </c>
      <c r="E90" s="64">
        <f>6162077</f>
        <v>6162077</v>
      </c>
      <c r="F90" s="65">
        <f>6162076.32</f>
        <v>6162076.3200000003</v>
      </c>
      <c r="G90" s="66">
        <f>3928572</f>
        <v>3928572</v>
      </c>
      <c r="H90" s="67">
        <f>3273810</f>
        <v>3273810</v>
      </c>
      <c r="I90" s="67">
        <f>2619048</f>
        <v>2619048</v>
      </c>
      <c r="J90" s="67">
        <f>1964286</f>
        <v>1964286</v>
      </c>
      <c r="K90" s="67">
        <f>1309524</f>
        <v>1309524</v>
      </c>
      <c r="L90" s="67">
        <f>654762</f>
        <v>654762</v>
      </c>
      <c r="M90" s="67">
        <f>0</f>
        <v>0</v>
      </c>
      <c r="N90" s="67">
        <f>0</f>
        <v>0</v>
      </c>
      <c r="O90" s="67">
        <f>0</f>
        <v>0</v>
      </c>
      <c r="P90" s="67">
        <f>0</f>
        <v>0</v>
      </c>
      <c r="Q90" s="67">
        <f>0</f>
        <v>0</v>
      </c>
      <c r="R90" s="67">
        <f>0</f>
        <v>0</v>
      </c>
      <c r="S90" s="67">
        <f>0</f>
        <v>0</v>
      </c>
      <c r="T90" s="67">
        <f>0</f>
        <v>0</v>
      </c>
    </row>
    <row r="91" spans="1:21" ht="66" customHeight="1">
      <c r="A91" s="61" t="s">
        <v>224</v>
      </c>
      <c r="B91" s="62" t="s">
        <v>225</v>
      </c>
      <c r="C91" s="63">
        <f>2653017.02</f>
        <v>2653017.02</v>
      </c>
      <c r="D91" s="64">
        <f>466411.41</f>
        <v>466411.41</v>
      </c>
      <c r="E91" s="64">
        <f>70034</f>
        <v>70034</v>
      </c>
      <c r="F91" s="65">
        <f>70033.37</f>
        <v>70033.37</v>
      </c>
      <c r="G91" s="66">
        <f>0</f>
        <v>0</v>
      </c>
      <c r="H91" s="67">
        <f>0</f>
        <v>0</v>
      </c>
      <c r="I91" s="67">
        <f>0</f>
        <v>0</v>
      </c>
      <c r="J91" s="67">
        <f>0</f>
        <v>0</v>
      </c>
      <c r="K91" s="67">
        <f>0</f>
        <v>0</v>
      </c>
      <c r="L91" s="67">
        <f>0</f>
        <v>0</v>
      </c>
      <c r="M91" s="67">
        <f>0</f>
        <v>0</v>
      </c>
      <c r="N91" s="67">
        <f>0</f>
        <v>0</v>
      </c>
      <c r="O91" s="67">
        <f>0</f>
        <v>0</v>
      </c>
      <c r="P91" s="67">
        <f>0</f>
        <v>0</v>
      </c>
      <c r="Q91" s="67">
        <f>0</f>
        <v>0</v>
      </c>
      <c r="R91" s="67">
        <f>0</f>
        <v>0</v>
      </c>
      <c r="S91" s="67">
        <f>0</f>
        <v>0</v>
      </c>
      <c r="T91" s="67">
        <f>0</f>
        <v>0</v>
      </c>
    </row>
    <row r="92" spans="1:21" ht="43.5" customHeight="1">
      <c r="A92" s="61" t="s">
        <v>226</v>
      </c>
      <c r="B92" s="62" t="s">
        <v>227</v>
      </c>
      <c r="C92" s="63">
        <f>0</f>
        <v>0</v>
      </c>
      <c r="D92" s="64">
        <f>1647108.93</f>
        <v>1647108.93</v>
      </c>
      <c r="E92" s="64">
        <f>0</f>
        <v>0</v>
      </c>
      <c r="F92" s="65">
        <f>0</f>
        <v>0</v>
      </c>
      <c r="G92" s="66">
        <f>0</f>
        <v>0</v>
      </c>
      <c r="H92" s="67">
        <f>0</f>
        <v>0</v>
      </c>
      <c r="I92" s="67">
        <f>0</f>
        <v>0</v>
      </c>
      <c r="J92" s="67">
        <f>0</f>
        <v>0</v>
      </c>
      <c r="K92" s="67">
        <f>0</f>
        <v>0</v>
      </c>
      <c r="L92" s="67">
        <f>0</f>
        <v>0</v>
      </c>
      <c r="M92" s="67">
        <f>0</f>
        <v>0</v>
      </c>
      <c r="N92" s="67">
        <f>0</f>
        <v>0</v>
      </c>
      <c r="O92" s="67">
        <f>0</f>
        <v>0</v>
      </c>
      <c r="P92" s="67">
        <f>0</f>
        <v>0</v>
      </c>
      <c r="Q92" s="67">
        <f>0</f>
        <v>0</v>
      </c>
      <c r="R92" s="67">
        <f>0</f>
        <v>0</v>
      </c>
      <c r="S92" s="67">
        <f>0</f>
        <v>0</v>
      </c>
      <c r="T92" s="67">
        <f>0</f>
        <v>0</v>
      </c>
    </row>
    <row r="93" spans="1:21" ht="66" customHeight="1">
      <c r="A93" s="61" t="s">
        <v>228</v>
      </c>
      <c r="B93" s="62" t="s">
        <v>229</v>
      </c>
      <c r="C93" s="63">
        <f>2663296.8</f>
        <v>2663296.7999999998</v>
      </c>
      <c r="D93" s="64">
        <f>26739219.05</f>
        <v>26739219.050000001</v>
      </c>
      <c r="E93" s="64">
        <f>1120960</f>
        <v>1120960</v>
      </c>
      <c r="F93" s="65">
        <f>1120959.84</f>
        <v>1120959.8400000001</v>
      </c>
      <c r="G93" s="66">
        <f>2233505</f>
        <v>2233505</v>
      </c>
      <c r="H93" s="67">
        <f t="shared" ref="H93:M93" si="14">654762</f>
        <v>654762</v>
      </c>
      <c r="I93" s="67">
        <f t="shared" si="14"/>
        <v>654762</v>
      </c>
      <c r="J93" s="67">
        <f t="shared" si="14"/>
        <v>654762</v>
      </c>
      <c r="K93" s="67">
        <f t="shared" si="14"/>
        <v>654762</v>
      </c>
      <c r="L93" s="67">
        <f t="shared" si="14"/>
        <v>654762</v>
      </c>
      <c r="M93" s="67">
        <f t="shared" si="14"/>
        <v>654762</v>
      </c>
      <c r="N93" s="67">
        <f>0</f>
        <v>0</v>
      </c>
      <c r="O93" s="67">
        <f>0</f>
        <v>0</v>
      </c>
      <c r="P93" s="67">
        <f>0</f>
        <v>0</v>
      </c>
      <c r="Q93" s="67">
        <f>0</f>
        <v>0</v>
      </c>
      <c r="R93" s="67">
        <f>0</f>
        <v>0</v>
      </c>
      <c r="S93" s="67">
        <f>0</f>
        <v>0</v>
      </c>
      <c r="T93" s="67">
        <f>0</f>
        <v>0</v>
      </c>
    </row>
    <row r="94" spans="1:21" ht="66.75" customHeight="1">
      <c r="A94" s="61" t="s">
        <v>230</v>
      </c>
      <c r="B94" s="62" t="s">
        <v>231</v>
      </c>
      <c r="C94" s="63">
        <f>0</f>
        <v>0</v>
      </c>
      <c r="D94" s="64">
        <f>0</f>
        <v>0</v>
      </c>
      <c r="E94" s="64">
        <f>0</f>
        <v>0</v>
      </c>
      <c r="F94" s="65">
        <f>0</f>
        <v>0</v>
      </c>
      <c r="G94" s="66">
        <f>0</f>
        <v>0</v>
      </c>
      <c r="H94" s="67">
        <f>0</f>
        <v>0</v>
      </c>
      <c r="I94" s="67">
        <f>0</f>
        <v>0</v>
      </c>
      <c r="J94" s="67">
        <f>0</f>
        <v>0</v>
      </c>
      <c r="K94" s="67">
        <f>0</f>
        <v>0</v>
      </c>
      <c r="L94" s="67">
        <f>0</f>
        <v>0</v>
      </c>
      <c r="M94" s="67">
        <f>0</f>
        <v>0</v>
      </c>
      <c r="N94" s="67">
        <f>0</f>
        <v>0</v>
      </c>
      <c r="O94" s="67">
        <f>0</f>
        <v>0</v>
      </c>
      <c r="P94" s="67">
        <f>0</f>
        <v>0</v>
      </c>
      <c r="Q94" s="67">
        <f>0</f>
        <v>0</v>
      </c>
      <c r="R94" s="67">
        <f>0</f>
        <v>0</v>
      </c>
      <c r="S94" s="67">
        <f>0</f>
        <v>0</v>
      </c>
      <c r="T94" s="67">
        <f>0</f>
        <v>0</v>
      </c>
    </row>
    <row r="95" spans="1:21" ht="68.25" customHeight="1">
      <c r="A95" s="61" t="s">
        <v>232</v>
      </c>
      <c r="B95" s="62" t="s">
        <v>233</v>
      </c>
      <c r="C95" s="63">
        <f>0</f>
        <v>0</v>
      </c>
      <c r="D95" s="64">
        <f>0</f>
        <v>0</v>
      </c>
      <c r="E95" s="64">
        <f>0</f>
        <v>0</v>
      </c>
      <c r="F95" s="65">
        <f>0</f>
        <v>0</v>
      </c>
      <c r="G95" s="66">
        <f>0</f>
        <v>0</v>
      </c>
      <c r="H95" s="67">
        <f>0</f>
        <v>0</v>
      </c>
      <c r="I95" s="67">
        <f>0</f>
        <v>0</v>
      </c>
      <c r="J95" s="67">
        <f>0</f>
        <v>0</v>
      </c>
      <c r="K95" s="67">
        <f>0</f>
        <v>0</v>
      </c>
      <c r="L95" s="67">
        <f>0</f>
        <v>0</v>
      </c>
      <c r="M95" s="67">
        <f>0</f>
        <v>0</v>
      </c>
      <c r="N95" s="67">
        <f>0</f>
        <v>0</v>
      </c>
      <c r="O95" s="67">
        <f>0</f>
        <v>0</v>
      </c>
      <c r="P95" s="67">
        <f>0</f>
        <v>0</v>
      </c>
      <c r="Q95" s="67">
        <f>0</f>
        <v>0</v>
      </c>
      <c r="R95" s="67">
        <f>0</f>
        <v>0</v>
      </c>
      <c r="S95" s="67">
        <f>0</f>
        <v>0</v>
      </c>
      <c r="T95" s="67">
        <f>0</f>
        <v>0</v>
      </c>
    </row>
    <row r="96" spans="1:21" ht="43.5" customHeight="1">
      <c r="A96" s="61" t="s">
        <v>234</v>
      </c>
      <c r="B96" s="62" t="s">
        <v>235</v>
      </c>
      <c r="C96" s="63">
        <f>0</f>
        <v>0</v>
      </c>
      <c r="D96" s="64">
        <f>0</f>
        <v>0</v>
      </c>
      <c r="E96" s="64">
        <f>0</f>
        <v>0</v>
      </c>
      <c r="F96" s="65">
        <f>0</f>
        <v>0</v>
      </c>
      <c r="G96" s="66">
        <f>0</f>
        <v>0</v>
      </c>
      <c r="H96" s="67">
        <f>0</f>
        <v>0</v>
      </c>
      <c r="I96" s="67">
        <f>0</f>
        <v>0</v>
      </c>
      <c r="J96" s="67">
        <f>0</f>
        <v>0</v>
      </c>
      <c r="K96" s="67">
        <f>0</f>
        <v>0</v>
      </c>
      <c r="L96" s="67">
        <f>0</f>
        <v>0</v>
      </c>
      <c r="M96" s="67">
        <f>0</f>
        <v>0</v>
      </c>
      <c r="N96" s="67">
        <f>0</f>
        <v>0</v>
      </c>
      <c r="O96" s="67">
        <f>0</f>
        <v>0</v>
      </c>
      <c r="P96" s="67">
        <f>0</f>
        <v>0</v>
      </c>
      <c r="Q96" s="67">
        <f>0</f>
        <v>0</v>
      </c>
      <c r="R96" s="67">
        <f>0</f>
        <v>0</v>
      </c>
      <c r="S96" s="67">
        <f>0</f>
        <v>0</v>
      </c>
      <c r="T96" s="67">
        <f>0</f>
        <v>0</v>
      </c>
    </row>
    <row r="97" spans="1:21" ht="23.25" customHeight="1">
      <c r="A97" s="53">
        <v>14</v>
      </c>
      <c r="B97" s="54" t="s">
        <v>236</v>
      </c>
      <c r="C97" s="68" t="s">
        <v>140</v>
      </c>
      <c r="D97" s="69" t="s">
        <v>140</v>
      </c>
      <c r="E97" s="69" t="s">
        <v>140</v>
      </c>
      <c r="F97" s="70" t="s">
        <v>140</v>
      </c>
      <c r="G97" s="71" t="s">
        <v>140</v>
      </c>
      <c r="H97" s="72" t="s">
        <v>140</v>
      </c>
      <c r="I97" s="72" t="s">
        <v>140</v>
      </c>
      <c r="J97" s="72" t="s">
        <v>140</v>
      </c>
      <c r="K97" s="72" t="s">
        <v>140</v>
      </c>
      <c r="L97" s="72" t="s">
        <v>140</v>
      </c>
      <c r="M97" s="72" t="s">
        <v>140</v>
      </c>
      <c r="N97" s="72" t="s">
        <v>140</v>
      </c>
      <c r="O97" s="72" t="s">
        <v>140</v>
      </c>
      <c r="P97" s="72" t="s">
        <v>140</v>
      </c>
      <c r="Q97" s="72" t="s">
        <v>140</v>
      </c>
      <c r="R97" s="72" t="s">
        <v>140</v>
      </c>
      <c r="S97" s="72" t="s">
        <v>140</v>
      </c>
      <c r="T97" s="72" t="s">
        <v>140</v>
      </c>
      <c r="U97" s="60"/>
    </row>
    <row r="98" spans="1:21" ht="52.5" customHeight="1">
      <c r="A98" s="61" t="s">
        <v>237</v>
      </c>
      <c r="B98" s="62" t="s">
        <v>238</v>
      </c>
      <c r="C98" s="63">
        <f>4785512</f>
        <v>4785512</v>
      </c>
      <c r="D98" s="64">
        <f>5654557</f>
        <v>5654557</v>
      </c>
      <c r="E98" s="64">
        <f>7051032</f>
        <v>7051032</v>
      </c>
      <c r="F98" s="65">
        <f>7051032</f>
        <v>7051032</v>
      </c>
      <c r="G98" s="66">
        <f>7257181</f>
        <v>7257181</v>
      </c>
      <c r="H98" s="67">
        <f>7129323</f>
        <v>7129323</v>
      </c>
      <c r="I98" s="67">
        <f>6557276</f>
        <v>6557276</v>
      </c>
      <c r="J98" s="67">
        <f>6390929</f>
        <v>6390929</v>
      </c>
      <c r="K98" s="67">
        <f>5108276</f>
        <v>5108276</v>
      </c>
      <c r="L98" s="67">
        <f>3834612</f>
        <v>3834612</v>
      </c>
      <c r="M98" s="67">
        <f>2450000</f>
        <v>2450000</v>
      </c>
      <c r="N98" s="67">
        <f>2350000</f>
        <v>2350000</v>
      </c>
      <c r="O98" s="67">
        <f t="shared" ref="O98:T98" si="15">1500000</f>
        <v>1500000</v>
      </c>
      <c r="P98" s="67">
        <f t="shared" si="15"/>
        <v>1500000</v>
      </c>
      <c r="Q98" s="67">
        <f t="shared" si="15"/>
        <v>1500000</v>
      </c>
      <c r="R98" s="67">
        <f t="shared" si="15"/>
        <v>1500000</v>
      </c>
      <c r="S98" s="67">
        <f t="shared" si="15"/>
        <v>1500000</v>
      </c>
      <c r="T98" s="67">
        <f t="shared" si="15"/>
        <v>1500000</v>
      </c>
    </row>
    <row r="99" spans="1:21" ht="30" customHeight="1">
      <c r="A99" s="61" t="s">
        <v>239</v>
      </c>
      <c r="B99" s="62" t="s">
        <v>240</v>
      </c>
      <c r="C99" s="63">
        <f>16589317.05</f>
        <v>16589317.050000001</v>
      </c>
      <c r="D99" s="64">
        <f>7283036.16</f>
        <v>7283036.1600000001</v>
      </c>
      <c r="E99" s="64">
        <f>6162077</f>
        <v>6162077</v>
      </c>
      <c r="F99" s="65">
        <f>6162076.32</f>
        <v>6162076.3200000003</v>
      </c>
      <c r="G99" s="66">
        <f>3928572</f>
        <v>3928572</v>
      </c>
      <c r="H99" s="67">
        <f>3273810</f>
        <v>3273810</v>
      </c>
      <c r="I99" s="67">
        <f>2619048</f>
        <v>2619048</v>
      </c>
      <c r="J99" s="67">
        <f>1964286</f>
        <v>1964286</v>
      </c>
      <c r="K99" s="67">
        <f>1309524</f>
        <v>1309524</v>
      </c>
      <c r="L99" s="67">
        <f>654762</f>
        <v>654762</v>
      </c>
      <c r="M99" s="67">
        <f>0</f>
        <v>0</v>
      </c>
      <c r="N99" s="67">
        <f>0</f>
        <v>0</v>
      </c>
      <c r="O99" s="67">
        <f>0</f>
        <v>0</v>
      </c>
      <c r="P99" s="67">
        <f>0</f>
        <v>0</v>
      </c>
      <c r="Q99" s="67">
        <f>0</f>
        <v>0</v>
      </c>
      <c r="R99" s="67">
        <f>0</f>
        <v>0</v>
      </c>
      <c r="S99" s="67">
        <f>0</f>
        <v>0</v>
      </c>
      <c r="T99" s="67">
        <f>0</f>
        <v>0</v>
      </c>
    </row>
    <row r="100" spans="1:21" ht="17.25" customHeight="1">
      <c r="A100" s="61" t="s">
        <v>241</v>
      </c>
      <c r="B100" s="62" t="s">
        <v>242</v>
      </c>
      <c r="C100" s="63">
        <f>2663296.8</f>
        <v>2663296.7999999998</v>
      </c>
      <c r="D100" s="64">
        <f>9290655.44</f>
        <v>9290655.4399999995</v>
      </c>
      <c r="E100" s="64">
        <f>1120960</f>
        <v>1120960</v>
      </c>
      <c r="F100" s="65">
        <f>1120959.84</f>
        <v>1120959.8400000001</v>
      </c>
      <c r="G100" s="66">
        <f>2233505</f>
        <v>2233505</v>
      </c>
      <c r="H100" s="67">
        <f>654762</f>
        <v>654762</v>
      </c>
      <c r="I100" s="67">
        <f>654762</f>
        <v>654762</v>
      </c>
      <c r="J100" s="67">
        <f>654762</f>
        <v>654762</v>
      </c>
      <c r="K100" s="67">
        <f>654762</f>
        <v>654762</v>
      </c>
      <c r="L100" s="67">
        <f>654762</f>
        <v>654762</v>
      </c>
      <c r="M100" s="67">
        <f>654762</f>
        <v>654762</v>
      </c>
      <c r="N100" s="67">
        <f>0</f>
        <v>0</v>
      </c>
      <c r="O100" s="67">
        <f>0</f>
        <v>0</v>
      </c>
      <c r="P100" s="67">
        <f>0</f>
        <v>0</v>
      </c>
      <c r="Q100" s="67">
        <f>0</f>
        <v>0</v>
      </c>
      <c r="R100" s="67">
        <f>0</f>
        <v>0</v>
      </c>
      <c r="S100" s="67">
        <f>0</f>
        <v>0</v>
      </c>
      <c r="T100" s="67">
        <f>0</f>
        <v>0</v>
      </c>
    </row>
    <row r="101" spans="1:21" ht="27.75" customHeight="1">
      <c r="A101" s="61" t="s">
        <v>243</v>
      </c>
      <c r="B101" s="62" t="s">
        <v>244</v>
      </c>
      <c r="C101" s="63">
        <f>2627340.31</f>
        <v>2627340.31</v>
      </c>
      <c r="D101" s="64">
        <f>7933585.6</f>
        <v>7933585.5999999996</v>
      </c>
      <c r="E101" s="64">
        <f>0</f>
        <v>0</v>
      </c>
      <c r="F101" s="65">
        <f>0</f>
        <v>0</v>
      </c>
      <c r="G101" s="66">
        <f>0</f>
        <v>0</v>
      </c>
      <c r="H101" s="67">
        <f>0</f>
        <v>0</v>
      </c>
      <c r="I101" s="67">
        <f>0</f>
        <v>0</v>
      </c>
      <c r="J101" s="67">
        <f>0</f>
        <v>0</v>
      </c>
      <c r="K101" s="67">
        <f>0</f>
        <v>0</v>
      </c>
      <c r="L101" s="67">
        <f>0</f>
        <v>0</v>
      </c>
      <c r="M101" s="67">
        <f>0</f>
        <v>0</v>
      </c>
      <c r="N101" s="67">
        <f>0</f>
        <v>0</v>
      </c>
      <c r="O101" s="67">
        <f>0</f>
        <v>0</v>
      </c>
      <c r="P101" s="67">
        <f>0</f>
        <v>0</v>
      </c>
      <c r="Q101" s="67">
        <f>0</f>
        <v>0</v>
      </c>
      <c r="R101" s="67">
        <f>0</f>
        <v>0</v>
      </c>
      <c r="S101" s="67">
        <f>0</f>
        <v>0</v>
      </c>
      <c r="T101" s="67">
        <f>0</f>
        <v>0</v>
      </c>
    </row>
    <row r="102" spans="1:21" ht="41.25" customHeight="1">
      <c r="A102" s="61" t="s">
        <v>245</v>
      </c>
      <c r="B102" s="62" t="s">
        <v>246</v>
      </c>
      <c r="C102" s="63">
        <f>35956.49</f>
        <v>35956.49</v>
      </c>
      <c r="D102" s="64">
        <f>1357069.84</f>
        <v>1357069.84</v>
      </c>
      <c r="E102" s="64">
        <f>1120960</f>
        <v>1120960</v>
      </c>
      <c r="F102" s="65">
        <f>1120959.84</f>
        <v>1120959.8400000001</v>
      </c>
      <c r="G102" s="66">
        <f>2233505</f>
        <v>2233505</v>
      </c>
      <c r="H102" s="67">
        <f t="shared" ref="H102:M102" si="16">654762</f>
        <v>654762</v>
      </c>
      <c r="I102" s="67">
        <f t="shared" si="16"/>
        <v>654762</v>
      </c>
      <c r="J102" s="67">
        <f t="shared" si="16"/>
        <v>654762</v>
      </c>
      <c r="K102" s="67">
        <f t="shared" si="16"/>
        <v>654762</v>
      </c>
      <c r="L102" s="67">
        <f t="shared" si="16"/>
        <v>654762</v>
      </c>
      <c r="M102" s="67">
        <f t="shared" si="16"/>
        <v>654762</v>
      </c>
      <c r="N102" s="67">
        <f>0</f>
        <v>0</v>
      </c>
      <c r="O102" s="67">
        <f>0</f>
        <v>0</v>
      </c>
      <c r="P102" s="67">
        <f>0</f>
        <v>0</v>
      </c>
      <c r="Q102" s="67">
        <f>0</f>
        <v>0</v>
      </c>
      <c r="R102" s="67">
        <f>0</f>
        <v>0</v>
      </c>
      <c r="S102" s="67">
        <f>0</f>
        <v>0</v>
      </c>
      <c r="T102" s="67">
        <f>0</f>
        <v>0</v>
      </c>
    </row>
    <row r="103" spans="1:21" ht="29.25" customHeight="1">
      <c r="A103" s="61" t="s">
        <v>247</v>
      </c>
      <c r="B103" s="62" t="s">
        <v>248</v>
      </c>
      <c r="C103" s="63">
        <f>0</f>
        <v>0</v>
      </c>
      <c r="D103" s="64">
        <f>0</f>
        <v>0</v>
      </c>
      <c r="E103" s="64">
        <f>0</f>
        <v>0</v>
      </c>
      <c r="F103" s="65">
        <f>0</f>
        <v>0</v>
      </c>
      <c r="G103" s="66">
        <f>0</f>
        <v>0</v>
      </c>
      <c r="H103" s="67">
        <f>0</f>
        <v>0</v>
      </c>
      <c r="I103" s="67">
        <f>0</f>
        <v>0</v>
      </c>
      <c r="J103" s="67">
        <f>0</f>
        <v>0</v>
      </c>
      <c r="K103" s="67">
        <f>0</f>
        <v>0</v>
      </c>
      <c r="L103" s="67">
        <f>0</f>
        <v>0</v>
      </c>
      <c r="M103" s="67">
        <f>0</f>
        <v>0</v>
      </c>
      <c r="N103" s="67">
        <f>0</f>
        <v>0</v>
      </c>
      <c r="O103" s="67">
        <f>0</f>
        <v>0</v>
      </c>
      <c r="P103" s="67">
        <f>0</f>
        <v>0</v>
      </c>
      <c r="Q103" s="67">
        <f>0</f>
        <v>0</v>
      </c>
      <c r="R103" s="67">
        <f>0</f>
        <v>0</v>
      </c>
      <c r="S103" s="67">
        <f>0</f>
        <v>0</v>
      </c>
      <c r="T103" s="67">
        <f>0</f>
        <v>0</v>
      </c>
    </row>
    <row r="104" spans="1:21" ht="43.5" customHeight="1">
      <c r="A104" s="127" t="s">
        <v>249</v>
      </c>
      <c r="B104" s="128" t="s">
        <v>250</v>
      </c>
      <c r="C104" s="129">
        <f>-60112.73</f>
        <v>-60112.73</v>
      </c>
      <c r="D104" s="130">
        <f>-40624.43</f>
        <v>-40624.43</v>
      </c>
      <c r="E104" s="130">
        <f>-9441</f>
        <v>-9441</v>
      </c>
      <c r="F104" s="131">
        <f>-9441.02</f>
        <v>-9441.02</v>
      </c>
      <c r="G104" s="132">
        <f>-71683</f>
        <v>-71683</v>
      </c>
      <c r="H104" s="133">
        <f>0</f>
        <v>0</v>
      </c>
      <c r="I104" s="133">
        <f>0</f>
        <v>0</v>
      </c>
      <c r="J104" s="133">
        <f>0</f>
        <v>0</v>
      </c>
      <c r="K104" s="133">
        <f>0</f>
        <v>0</v>
      </c>
      <c r="L104" s="133">
        <f>0</f>
        <v>0</v>
      </c>
      <c r="M104" s="133">
        <f>0</f>
        <v>0</v>
      </c>
      <c r="N104" s="133">
        <f>0</f>
        <v>0</v>
      </c>
      <c r="O104" s="133">
        <f>0</f>
        <v>0</v>
      </c>
      <c r="P104" s="133">
        <f>0</f>
        <v>0</v>
      </c>
      <c r="Q104" s="133">
        <f>0</f>
        <v>0</v>
      </c>
      <c r="R104" s="133">
        <f>0</f>
        <v>0</v>
      </c>
      <c r="S104" s="133">
        <f>0</f>
        <v>0</v>
      </c>
      <c r="T104" s="133">
        <f>0</f>
        <v>0</v>
      </c>
    </row>
    <row r="105" spans="1:21" ht="24" hidden="1">
      <c r="A105" s="89">
        <v>15</v>
      </c>
      <c r="B105" s="90" t="s">
        <v>251</v>
      </c>
      <c r="C105" s="91" t="s">
        <v>140</v>
      </c>
      <c r="D105" s="92" t="s">
        <v>140</v>
      </c>
      <c r="E105" s="92" t="s">
        <v>140</v>
      </c>
      <c r="F105" s="93" t="s">
        <v>140</v>
      </c>
      <c r="G105" s="94" t="s">
        <v>140</v>
      </c>
      <c r="H105" s="95" t="s">
        <v>140</v>
      </c>
      <c r="I105" s="95" t="s">
        <v>140</v>
      </c>
      <c r="J105" s="95" t="s">
        <v>140</v>
      </c>
      <c r="K105" s="95" t="s">
        <v>140</v>
      </c>
      <c r="L105" s="95" t="s">
        <v>140</v>
      </c>
      <c r="M105" s="95" t="s">
        <v>140</v>
      </c>
      <c r="N105" s="95" t="s">
        <v>140</v>
      </c>
      <c r="O105" s="95" t="s">
        <v>140</v>
      </c>
      <c r="P105" s="95" t="s">
        <v>140</v>
      </c>
      <c r="Q105" s="95" t="s">
        <v>140</v>
      </c>
      <c r="R105" s="95" t="s">
        <v>140</v>
      </c>
      <c r="S105" s="95" t="s">
        <v>140</v>
      </c>
      <c r="T105" s="95" t="s">
        <v>140</v>
      </c>
    </row>
    <row r="106" spans="1:21" ht="24" hidden="1">
      <c r="A106" s="96" t="s">
        <v>252</v>
      </c>
      <c r="B106" s="97" t="s">
        <v>253</v>
      </c>
      <c r="C106" s="98">
        <f>0</f>
        <v>0</v>
      </c>
      <c r="D106" s="99">
        <f>0</f>
        <v>0</v>
      </c>
      <c r="E106" s="99">
        <f>0</f>
        <v>0</v>
      </c>
      <c r="F106" s="100">
        <f>0</f>
        <v>0</v>
      </c>
      <c r="G106" s="101">
        <f>0</f>
        <v>0</v>
      </c>
      <c r="H106" s="102">
        <f>0</f>
        <v>0</v>
      </c>
      <c r="I106" s="102">
        <f>0</f>
        <v>0</v>
      </c>
      <c r="J106" s="102">
        <f>0</f>
        <v>0</v>
      </c>
      <c r="K106" s="102">
        <f>0</f>
        <v>0</v>
      </c>
      <c r="L106" s="102">
        <f>0</f>
        <v>0</v>
      </c>
      <c r="M106" s="102">
        <f>0</f>
        <v>0</v>
      </c>
      <c r="N106" s="102">
        <f>0</f>
        <v>0</v>
      </c>
      <c r="O106" s="102">
        <f>0</f>
        <v>0</v>
      </c>
      <c r="P106" s="102">
        <f>0</f>
        <v>0</v>
      </c>
      <c r="Q106" s="102">
        <f>0</f>
        <v>0</v>
      </c>
      <c r="R106" s="102">
        <f>0</f>
        <v>0</v>
      </c>
      <c r="S106" s="102">
        <f>0</f>
        <v>0</v>
      </c>
      <c r="T106" s="102">
        <f>0</f>
        <v>0</v>
      </c>
    </row>
    <row r="107" spans="1:21" ht="24" hidden="1">
      <c r="A107" s="61" t="s">
        <v>254</v>
      </c>
      <c r="B107" s="62" t="s">
        <v>255</v>
      </c>
      <c r="C107" s="63">
        <f>0</f>
        <v>0</v>
      </c>
      <c r="D107" s="64">
        <f>0</f>
        <v>0</v>
      </c>
      <c r="E107" s="64">
        <f>0</f>
        <v>0</v>
      </c>
      <c r="F107" s="65">
        <f>0</f>
        <v>0</v>
      </c>
      <c r="G107" s="66">
        <f>0</f>
        <v>0</v>
      </c>
      <c r="H107" s="67">
        <f>0</f>
        <v>0</v>
      </c>
      <c r="I107" s="67">
        <f>0</f>
        <v>0</v>
      </c>
      <c r="J107" s="67">
        <f>0</f>
        <v>0</v>
      </c>
      <c r="K107" s="67">
        <f>0</f>
        <v>0</v>
      </c>
      <c r="L107" s="67">
        <f>0</f>
        <v>0</v>
      </c>
      <c r="M107" s="67">
        <f>0</f>
        <v>0</v>
      </c>
      <c r="N107" s="67">
        <f>0</f>
        <v>0</v>
      </c>
      <c r="O107" s="67">
        <f>0</f>
        <v>0</v>
      </c>
      <c r="P107" s="67">
        <f>0</f>
        <v>0</v>
      </c>
      <c r="Q107" s="67">
        <f>0</f>
        <v>0</v>
      </c>
      <c r="R107" s="67">
        <f>0</f>
        <v>0</v>
      </c>
      <c r="S107" s="67">
        <f>0</f>
        <v>0</v>
      </c>
      <c r="T107" s="67">
        <f>0</f>
        <v>0</v>
      </c>
    </row>
    <row r="108" spans="1:21" ht="60" hidden="1">
      <c r="A108" s="82" t="s">
        <v>256</v>
      </c>
      <c r="B108" s="83" t="s">
        <v>257</v>
      </c>
      <c r="C108" s="84">
        <f>0</f>
        <v>0</v>
      </c>
      <c r="D108" s="85">
        <f>0</f>
        <v>0</v>
      </c>
      <c r="E108" s="85">
        <f>0</f>
        <v>0</v>
      </c>
      <c r="F108" s="86">
        <f>0</f>
        <v>0</v>
      </c>
      <c r="G108" s="87">
        <f>0</f>
        <v>0</v>
      </c>
      <c r="H108" s="88">
        <f>0</f>
        <v>0</v>
      </c>
      <c r="I108" s="88">
        <f>0</f>
        <v>0</v>
      </c>
      <c r="J108" s="88">
        <f>0</f>
        <v>0</v>
      </c>
      <c r="K108" s="88">
        <f>0</f>
        <v>0</v>
      </c>
      <c r="L108" s="88">
        <f>0</f>
        <v>0</v>
      </c>
      <c r="M108" s="88">
        <f>0</f>
        <v>0</v>
      </c>
      <c r="N108" s="88">
        <f>0</f>
        <v>0</v>
      </c>
      <c r="O108" s="88">
        <f>0</f>
        <v>0</v>
      </c>
      <c r="P108" s="88">
        <f>0</f>
        <v>0</v>
      </c>
      <c r="Q108" s="88">
        <f>0</f>
        <v>0</v>
      </c>
      <c r="R108" s="88">
        <f>0</f>
        <v>0</v>
      </c>
      <c r="S108" s="88">
        <f>0</f>
        <v>0</v>
      </c>
      <c r="T108" s="88">
        <f>0</f>
        <v>0</v>
      </c>
    </row>
    <row r="109" spans="1:21" ht="48" hidden="1">
      <c r="A109" s="103">
        <v>16</v>
      </c>
      <c r="B109" s="104" t="s">
        <v>258</v>
      </c>
      <c r="C109" s="91" t="s">
        <v>140</v>
      </c>
      <c r="D109" s="92" t="s">
        <v>140</v>
      </c>
      <c r="E109" s="92" t="s">
        <v>140</v>
      </c>
      <c r="F109" s="93" t="s">
        <v>140</v>
      </c>
      <c r="G109" s="94" t="s">
        <v>140</v>
      </c>
      <c r="H109" s="94" t="s">
        <v>140</v>
      </c>
      <c r="I109" s="94" t="s">
        <v>140</v>
      </c>
      <c r="J109" s="94" t="s">
        <v>140</v>
      </c>
      <c r="K109" s="94" t="s">
        <v>140</v>
      </c>
      <c r="L109" s="94" t="s">
        <v>140</v>
      </c>
      <c r="M109" s="94" t="s">
        <v>140</v>
      </c>
      <c r="N109" s="94" t="s">
        <v>140</v>
      </c>
      <c r="O109" s="94" t="s">
        <v>140</v>
      </c>
      <c r="P109" s="94" t="s">
        <v>140</v>
      </c>
      <c r="Q109" s="94" t="s">
        <v>140</v>
      </c>
      <c r="R109" s="94" t="s">
        <v>140</v>
      </c>
      <c r="S109" s="94" t="s">
        <v>140</v>
      </c>
      <c r="T109" s="94" t="s">
        <v>140</v>
      </c>
    </row>
    <row r="110" spans="1:21" ht="36" hidden="1">
      <c r="A110" s="105" t="s">
        <v>259</v>
      </c>
      <c r="B110" s="106" t="s">
        <v>260</v>
      </c>
      <c r="C110" s="107" t="s">
        <v>140</v>
      </c>
      <c r="D110" s="108" t="s">
        <v>140</v>
      </c>
      <c r="E110" s="108" t="s">
        <v>140</v>
      </c>
      <c r="F110" s="109" t="s">
        <v>140</v>
      </c>
      <c r="G110" s="101" t="str">
        <f>+IF(G46&lt;0,G46,"")</f>
        <v/>
      </c>
      <c r="H110" s="101" t="str">
        <f t="shared" ref="H110:T110" si="17">+IF(H46&lt;0,H46,"")</f>
        <v/>
      </c>
      <c r="I110" s="101" t="str">
        <f t="shared" si="17"/>
        <v/>
      </c>
      <c r="J110" s="101" t="str">
        <f t="shared" si="17"/>
        <v/>
      </c>
      <c r="K110" s="101" t="str">
        <f t="shared" si="17"/>
        <v/>
      </c>
      <c r="L110" s="101" t="str">
        <f t="shared" si="17"/>
        <v/>
      </c>
      <c r="M110" s="101" t="str">
        <f t="shared" si="17"/>
        <v/>
      </c>
      <c r="N110" s="101" t="str">
        <f t="shared" si="17"/>
        <v/>
      </c>
      <c r="O110" s="101" t="str">
        <f t="shared" si="17"/>
        <v/>
      </c>
      <c r="P110" s="101" t="str">
        <f t="shared" si="17"/>
        <v/>
      </c>
      <c r="Q110" s="101" t="str">
        <f t="shared" si="17"/>
        <v/>
      </c>
      <c r="R110" s="101" t="str">
        <f t="shared" si="17"/>
        <v/>
      </c>
      <c r="S110" s="101" t="str">
        <f t="shared" si="17"/>
        <v/>
      </c>
      <c r="T110" s="101" t="str">
        <f t="shared" si="17"/>
        <v/>
      </c>
    </row>
    <row r="111" spans="1:21" ht="36" hidden="1">
      <c r="A111" s="110" t="s">
        <v>261</v>
      </c>
      <c r="B111" s="111" t="s">
        <v>262</v>
      </c>
      <c r="C111" s="112" t="s">
        <v>140</v>
      </c>
      <c r="D111" s="113" t="s">
        <v>140</v>
      </c>
      <c r="E111" s="113" t="s">
        <v>140</v>
      </c>
      <c r="F111" s="114" t="s">
        <v>140</v>
      </c>
      <c r="G111" s="115" t="str">
        <f>IF(G51&lt;=G53,"",G53- G51)</f>
        <v/>
      </c>
      <c r="H111" s="115" t="str">
        <f t="shared" ref="H111:T111" si="18">IF(H51&lt;=H53,"",H53- H51)</f>
        <v/>
      </c>
      <c r="I111" s="115" t="str">
        <f t="shared" si="18"/>
        <v/>
      </c>
      <c r="J111" s="115" t="str">
        <f t="shared" si="18"/>
        <v/>
      </c>
      <c r="K111" s="115" t="str">
        <f t="shared" si="18"/>
        <v/>
      </c>
      <c r="L111" s="115" t="str">
        <f t="shared" si="18"/>
        <v/>
      </c>
      <c r="M111" s="115" t="str">
        <f t="shared" si="18"/>
        <v/>
      </c>
      <c r="N111" s="115" t="str">
        <f t="shared" si="18"/>
        <v/>
      </c>
      <c r="O111" s="115" t="str">
        <f t="shared" si="18"/>
        <v/>
      </c>
      <c r="P111" s="115" t="str">
        <f t="shared" si="18"/>
        <v/>
      </c>
      <c r="Q111" s="115" t="str">
        <f t="shared" si="18"/>
        <v/>
      </c>
      <c r="R111" s="115" t="str">
        <f t="shared" si="18"/>
        <v/>
      </c>
      <c r="S111" s="115" t="str">
        <f t="shared" si="18"/>
        <v/>
      </c>
      <c r="T111" s="115" t="str">
        <f t="shared" si="18"/>
        <v/>
      </c>
    </row>
    <row r="112" spans="1:21" ht="36" hidden="1">
      <c r="A112" s="116" t="s">
        <v>263</v>
      </c>
      <c r="B112" s="117" t="s">
        <v>264</v>
      </c>
      <c r="C112" s="118" t="s">
        <v>140</v>
      </c>
      <c r="D112" s="119" t="s">
        <v>140</v>
      </c>
      <c r="E112" s="119" t="s">
        <v>140</v>
      </c>
      <c r="F112" s="120" t="s">
        <v>140</v>
      </c>
      <c r="G112" s="121" t="str">
        <f>IF(G51&lt;=G54,"",G54-G51)</f>
        <v/>
      </c>
      <c r="H112" s="121" t="str">
        <f t="shared" ref="H112:T112" si="19">IF(H51&lt;=H54,"",H54-H51)</f>
        <v/>
      </c>
      <c r="I112" s="121" t="str">
        <f t="shared" si="19"/>
        <v/>
      </c>
      <c r="J112" s="121" t="str">
        <f t="shared" si="19"/>
        <v/>
      </c>
      <c r="K112" s="121" t="str">
        <f t="shared" si="19"/>
        <v/>
      </c>
      <c r="L112" s="121" t="str">
        <f t="shared" si="19"/>
        <v/>
      </c>
      <c r="M112" s="121" t="str">
        <f t="shared" si="19"/>
        <v/>
      </c>
      <c r="N112" s="121" t="str">
        <f t="shared" si="19"/>
        <v/>
      </c>
      <c r="O112" s="121" t="str">
        <f t="shared" si="19"/>
        <v/>
      </c>
      <c r="P112" s="121" t="str">
        <f t="shared" si="19"/>
        <v/>
      </c>
      <c r="Q112" s="121" t="str">
        <f t="shared" si="19"/>
        <v/>
      </c>
      <c r="R112" s="121" t="str">
        <f t="shared" si="19"/>
        <v/>
      </c>
      <c r="S112" s="121" t="str">
        <f t="shared" si="19"/>
        <v/>
      </c>
      <c r="T112" s="121" t="str">
        <f t="shared" si="19"/>
        <v/>
      </c>
    </row>
    <row r="113" spans="1:20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</row>
    <row r="114" spans="1:20" s="125" customFormat="1">
      <c r="A114" s="123" t="s">
        <v>66</v>
      </c>
      <c r="B114" s="124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</row>
    <row r="115" spans="1:20" s="125" customFormat="1">
      <c r="A115" s="123" t="s">
        <v>67</v>
      </c>
      <c r="B115" s="124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</row>
  </sheetData>
  <sheetProtection algorithmName="SHA-512" hashValue="lhhUuEZbLh8QRpsKyYzoSX+WP6yzCBmf7mDTxKtrQVE/Du4QWxuPGAaCIlGUV73PttsmwSbNB42fkcUGZQ9Ptw==" saltValue="5kj/DFVQOzslwyM1doWvRw==" spinCount="100000" sheet="1" objects="1" scenarios="1" formatColumns="0" formatRows="0" sort="0" autoFilter="0"/>
  <mergeCells count="2">
    <mergeCell ref="C2:D2"/>
    <mergeCell ref="A1:T1"/>
  </mergeCells>
  <conditionalFormatting sqref="G55:T56">
    <cfRule type="expression" dxfId="0" priority="12" stopIfTrue="1">
      <formula>LEFT(G55,3)="Nie"</formula>
    </cfRule>
  </conditionalFormatting>
  <pageMargins left="0.15748031496062992" right="0.15748031496062992" top="1.1023622047244095" bottom="0.92" header="0.57999999999999996" footer="0.31496062992125984"/>
  <pageSetup paperSize="9" scale="59" orientation="landscape" horizontalDpi="4294967293" verticalDpi="4294967293" r:id="rId1"/>
  <headerFooter differentOddEven="1" differentFirst="1" alignWithMargins="0">
    <firstHeader>&amp;R&amp;"Times New Roman,Normalny"Załącznik Nr 1
do uchwały Nr ..................
Rady Powiatu w Otwocku
z dnia ...........................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0" zoomScaleNormal="110" workbookViewId="0">
      <pane ySplit="4" topLeftCell="A5" activePane="bottomLeft" state="frozen"/>
      <selection pane="bottomLeft" sqref="A1:K1"/>
    </sheetView>
  </sheetViews>
  <sheetFormatPr defaultRowHeight="12.75"/>
  <cols>
    <col min="1" max="1" width="7.28515625" style="2" customWidth="1"/>
    <col min="2" max="2" width="52.7109375" style="1" customWidth="1"/>
    <col min="3" max="3" width="23.85546875" style="2" customWidth="1"/>
    <col min="4" max="5" width="6.5703125" style="2" customWidth="1"/>
    <col min="6" max="9" width="13.140625" style="1" customWidth="1"/>
    <col min="10" max="11" width="12.85546875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1" ht="18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 customHeight="1"/>
    <row r="3" spans="1:11" ht="31.5" customHeight="1">
      <c r="A3" s="147" t="s">
        <v>1</v>
      </c>
      <c r="B3" s="147" t="s">
        <v>2</v>
      </c>
      <c r="C3" s="147" t="s">
        <v>3</v>
      </c>
      <c r="D3" s="147" t="s">
        <v>4</v>
      </c>
      <c r="E3" s="147"/>
      <c r="F3" s="147" t="s">
        <v>5</v>
      </c>
      <c r="G3" s="148" t="s">
        <v>6</v>
      </c>
      <c r="H3" s="148" t="s">
        <v>7</v>
      </c>
      <c r="I3" s="148" t="s">
        <v>8</v>
      </c>
      <c r="J3" s="148" t="s">
        <v>9</v>
      </c>
      <c r="K3" s="147" t="s">
        <v>10</v>
      </c>
    </row>
    <row r="4" spans="1:11" s="2" customFormat="1" ht="18" customHeight="1">
      <c r="A4" s="147"/>
      <c r="B4" s="147"/>
      <c r="C4" s="147"/>
      <c r="D4" s="3" t="s">
        <v>11</v>
      </c>
      <c r="E4" s="3" t="s">
        <v>12</v>
      </c>
      <c r="F4" s="147"/>
      <c r="G4" s="149"/>
      <c r="H4" s="149"/>
      <c r="I4" s="149"/>
      <c r="J4" s="149"/>
      <c r="K4" s="147"/>
    </row>
    <row r="5" spans="1:11" s="5" customFormat="1" ht="1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s="8" customFormat="1" ht="18.75" customHeight="1">
      <c r="A6" s="6" t="s">
        <v>13</v>
      </c>
      <c r="B6" s="145" t="s">
        <v>14</v>
      </c>
      <c r="C6" s="145"/>
      <c r="D6" s="145"/>
      <c r="E6" s="145"/>
      <c r="F6" s="7">
        <f t="shared" ref="F6:K7" si="0">SUM(F9,F21,F24)</f>
        <v>19369702</v>
      </c>
      <c r="G6" s="7">
        <f t="shared" si="0"/>
        <v>2794419</v>
      </c>
      <c r="H6" s="7">
        <f t="shared" si="0"/>
        <v>3182630</v>
      </c>
      <c r="I6" s="7">
        <f t="shared" si="0"/>
        <v>4716998</v>
      </c>
      <c r="J6" s="7">
        <f t="shared" si="0"/>
        <v>4216998</v>
      </c>
      <c r="K6" s="7">
        <f t="shared" si="0"/>
        <v>14911045</v>
      </c>
    </row>
    <row r="7" spans="1:11" s="8" customFormat="1" ht="18.75" customHeight="1">
      <c r="A7" s="6" t="s">
        <v>15</v>
      </c>
      <c r="B7" s="145" t="s">
        <v>16</v>
      </c>
      <c r="C7" s="145"/>
      <c r="D7" s="145"/>
      <c r="E7" s="145"/>
      <c r="F7" s="7">
        <f t="shared" si="0"/>
        <v>6050376</v>
      </c>
      <c r="G7" s="7">
        <f t="shared" si="0"/>
        <v>1883618</v>
      </c>
      <c r="H7" s="7">
        <f t="shared" si="0"/>
        <v>305448</v>
      </c>
      <c r="I7" s="7">
        <f t="shared" si="0"/>
        <v>100000</v>
      </c>
      <c r="J7" s="7">
        <f t="shared" si="0"/>
        <v>100000</v>
      </c>
      <c r="K7" s="7">
        <f t="shared" si="0"/>
        <v>2389066</v>
      </c>
    </row>
    <row r="8" spans="1:11" s="8" customFormat="1" ht="18.75" customHeight="1">
      <c r="A8" s="6" t="s">
        <v>17</v>
      </c>
      <c r="B8" s="145" t="s">
        <v>18</v>
      </c>
      <c r="C8" s="145"/>
      <c r="D8" s="145"/>
      <c r="E8" s="145"/>
      <c r="F8" s="7">
        <f>SUM(F17,F23,F27)</f>
        <v>13319326</v>
      </c>
      <c r="G8" s="7">
        <f t="shared" ref="G8:K8" si="1">SUM(G17,G23,G27)</f>
        <v>910801</v>
      </c>
      <c r="H8" s="7">
        <f t="shared" si="1"/>
        <v>2877182</v>
      </c>
      <c r="I8" s="7">
        <f t="shared" si="1"/>
        <v>4616998</v>
      </c>
      <c r="J8" s="7">
        <f t="shared" si="1"/>
        <v>4116998</v>
      </c>
      <c r="K8" s="7">
        <f t="shared" si="1"/>
        <v>12521979</v>
      </c>
    </row>
    <row r="9" spans="1:11" s="11" customFormat="1" ht="46.5" customHeight="1">
      <c r="A9" s="6" t="s">
        <v>19</v>
      </c>
      <c r="B9" s="145" t="s">
        <v>20</v>
      </c>
      <c r="C9" s="145"/>
      <c r="D9" s="145"/>
      <c r="E9" s="145"/>
      <c r="F9" s="9">
        <f>SUM(F10,F17)</f>
        <v>6383943</v>
      </c>
      <c r="G9" s="9">
        <f>SUM(G10,G17)</f>
        <v>1923419</v>
      </c>
      <c r="H9" s="9">
        <f>SUM(H10,H17)</f>
        <v>263947</v>
      </c>
      <c r="I9" s="9">
        <f>SUM(I10,I17)</f>
        <v>116998</v>
      </c>
      <c r="J9" s="9">
        <f>SUM(J10,J17)</f>
        <v>116998</v>
      </c>
      <c r="K9" s="10">
        <f>SUM(G9:J9)</f>
        <v>2421362</v>
      </c>
    </row>
    <row r="10" spans="1:11" s="8" customFormat="1" ht="18.75" customHeight="1">
      <c r="A10" s="6" t="s">
        <v>21</v>
      </c>
      <c r="B10" s="145" t="s">
        <v>16</v>
      </c>
      <c r="C10" s="145"/>
      <c r="D10" s="145"/>
      <c r="E10" s="145"/>
      <c r="F10" s="7">
        <f t="shared" ref="F10:K10" si="2">SUM(F11:F16)</f>
        <v>5632376</v>
      </c>
      <c r="G10" s="7">
        <f t="shared" si="2"/>
        <v>1805618</v>
      </c>
      <c r="H10" s="7">
        <f t="shared" si="2"/>
        <v>205448</v>
      </c>
      <c r="I10" s="7">
        <f t="shared" si="2"/>
        <v>0</v>
      </c>
      <c r="J10" s="7">
        <f t="shared" si="2"/>
        <v>0</v>
      </c>
      <c r="K10" s="7">
        <f t="shared" si="2"/>
        <v>2011066</v>
      </c>
    </row>
    <row r="11" spans="1:11" s="17" customFormat="1" ht="18.75" customHeight="1">
      <c r="A11" s="12" t="s">
        <v>22</v>
      </c>
      <c r="B11" s="13" t="s">
        <v>23</v>
      </c>
      <c r="C11" s="14" t="s">
        <v>24</v>
      </c>
      <c r="D11" s="15">
        <v>2012</v>
      </c>
      <c r="E11" s="15">
        <v>2015</v>
      </c>
      <c r="F11" s="16">
        <v>515670</v>
      </c>
      <c r="G11" s="16">
        <v>141581</v>
      </c>
      <c r="H11" s="16"/>
      <c r="I11" s="16"/>
      <c r="J11" s="16"/>
      <c r="K11" s="16">
        <f t="shared" ref="K11:K16" si="3">SUM(G11:J11)</f>
        <v>141581</v>
      </c>
    </row>
    <row r="12" spans="1:11" s="17" customFormat="1" ht="33" customHeight="1">
      <c r="A12" s="12" t="s">
        <v>25</v>
      </c>
      <c r="B12" s="13" t="s">
        <v>26</v>
      </c>
      <c r="C12" s="15" t="s">
        <v>27</v>
      </c>
      <c r="D12" s="15">
        <v>2012</v>
      </c>
      <c r="E12" s="15">
        <v>2015</v>
      </c>
      <c r="F12" s="16">
        <v>2984140</v>
      </c>
      <c r="G12" s="16">
        <v>557030</v>
      </c>
      <c r="H12" s="16"/>
      <c r="I12" s="16"/>
      <c r="J12" s="16"/>
      <c r="K12" s="16">
        <f t="shared" si="3"/>
        <v>557030</v>
      </c>
    </row>
    <row r="13" spans="1:11" s="17" customFormat="1" ht="33" customHeight="1">
      <c r="A13" s="12" t="s">
        <v>28</v>
      </c>
      <c r="B13" s="13" t="s">
        <v>29</v>
      </c>
      <c r="C13" s="14" t="s">
        <v>30</v>
      </c>
      <c r="D13" s="15">
        <v>2015</v>
      </c>
      <c r="E13" s="15">
        <v>2016</v>
      </c>
      <c r="F13" s="16">
        <v>1027242</v>
      </c>
      <c r="G13" s="16">
        <v>821794</v>
      </c>
      <c r="H13" s="16">
        <v>205448</v>
      </c>
      <c r="I13" s="16"/>
      <c r="J13" s="16"/>
      <c r="K13" s="16">
        <f t="shared" si="3"/>
        <v>1027242</v>
      </c>
    </row>
    <row r="14" spans="1:11" s="17" customFormat="1" ht="33" customHeight="1">
      <c r="A14" s="12" t="s">
        <v>31</v>
      </c>
      <c r="B14" s="13" t="s">
        <v>32</v>
      </c>
      <c r="C14" s="14" t="s">
        <v>30</v>
      </c>
      <c r="D14" s="15">
        <v>2013</v>
      </c>
      <c r="E14" s="15">
        <v>2015</v>
      </c>
      <c r="F14" s="16">
        <v>617908</v>
      </c>
      <c r="G14" s="16">
        <v>125422</v>
      </c>
      <c r="H14" s="16"/>
      <c r="I14" s="16"/>
      <c r="J14" s="16"/>
      <c r="K14" s="16">
        <f t="shared" si="3"/>
        <v>125422</v>
      </c>
    </row>
    <row r="15" spans="1:11" s="17" customFormat="1" ht="33" customHeight="1">
      <c r="A15" s="12" t="s">
        <v>33</v>
      </c>
      <c r="B15" s="13" t="s">
        <v>34</v>
      </c>
      <c r="C15" s="14" t="s">
        <v>30</v>
      </c>
      <c r="D15" s="15">
        <v>2014</v>
      </c>
      <c r="E15" s="15">
        <v>2015</v>
      </c>
      <c r="F15" s="16">
        <v>362880</v>
      </c>
      <c r="G15" s="16">
        <v>96833</v>
      </c>
      <c r="H15" s="16"/>
      <c r="I15" s="16"/>
      <c r="J15" s="16"/>
      <c r="K15" s="16">
        <f t="shared" si="3"/>
        <v>96833</v>
      </c>
    </row>
    <row r="16" spans="1:11" s="17" customFormat="1" ht="18.75" customHeight="1">
      <c r="A16" s="12" t="s">
        <v>35</v>
      </c>
      <c r="B16" s="13" t="s">
        <v>34</v>
      </c>
      <c r="C16" s="14" t="s">
        <v>36</v>
      </c>
      <c r="D16" s="15">
        <v>2014</v>
      </c>
      <c r="E16" s="15">
        <v>2015</v>
      </c>
      <c r="F16" s="16">
        <v>124536</v>
      </c>
      <c r="G16" s="16">
        <v>62958</v>
      </c>
      <c r="H16" s="16"/>
      <c r="I16" s="16"/>
      <c r="J16" s="16"/>
      <c r="K16" s="16">
        <f t="shared" si="3"/>
        <v>62958</v>
      </c>
    </row>
    <row r="17" spans="1:13" s="8" customFormat="1" ht="18.75" customHeight="1">
      <c r="A17" s="6" t="s">
        <v>37</v>
      </c>
      <c r="B17" s="145" t="s">
        <v>18</v>
      </c>
      <c r="C17" s="145"/>
      <c r="D17" s="145"/>
      <c r="E17" s="145"/>
      <c r="F17" s="7">
        <f>SUM(F18:F20)</f>
        <v>751567</v>
      </c>
      <c r="G17" s="7">
        <f t="shared" ref="G17:K17" si="4">SUM(G18:G20)</f>
        <v>117801</v>
      </c>
      <c r="H17" s="7">
        <f t="shared" si="4"/>
        <v>58499</v>
      </c>
      <c r="I17" s="7">
        <f t="shared" si="4"/>
        <v>116998</v>
      </c>
      <c r="J17" s="7">
        <f t="shared" si="4"/>
        <v>116998</v>
      </c>
      <c r="K17" s="7">
        <f t="shared" si="4"/>
        <v>410296</v>
      </c>
      <c r="L17" s="18"/>
      <c r="M17" s="18"/>
    </row>
    <row r="18" spans="1:13" s="23" customFormat="1" ht="61.5" customHeight="1">
      <c r="A18" s="19" t="s">
        <v>38</v>
      </c>
      <c r="B18" s="20" t="s">
        <v>39</v>
      </c>
      <c r="C18" s="21" t="s">
        <v>27</v>
      </c>
      <c r="D18" s="21">
        <v>2010</v>
      </c>
      <c r="E18" s="21">
        <v>2015</v>
      </c>
      <c r="F18" s="22">
        <v>429903</v>
      </c>
      <c r="G18" s="22">
        <v>99409</v>
      </c>
      <c r="H18" s="22"/>
      <c r="I18" s="22"/>
      <c r="J18" s="22"/>
      <c r="K18" s="22">
        <f t="shared" ref="K18:K24" si="5">SUM(G18:J18)</f>
        <v>99409</v>
      </c>
    </row>
    <row r="19" spans="1:13" s="23" customFormat="1" ht="50.25" customHeight="1">
      <c r="A19" s="24" t="s">
        <v>40</v>
      </c>
      <c r="B19" s="25" t="s">
        <v>41</v>
      </c>
      <c r="C19" s="26" t="s">
        <v>27</v>
      </c>
      <c r="D19" s="26">
        <v>2010</v>
      </c>
      <c r="E19" s="26">
        <v>2015</v>
      </c>
      <c r="F19" s="27">
        <v>29169</v>
      </c>
      <c r="G19" s="27">
        <v>18392</v>
      </c>
      <c r="H19" s="27"/>
      <c r="I19" s="27"/>
      <c r="J19" s="27"/>
      <c r="K19" s="27">
        <f t="shared" si="5"/>
        <v>18392</v>
      </c>
    </row>
    <row r="20" spans="1:13" s="23" customFormat="1" ht="50.25" customHeight="1">
      <c r="A20" s="24" t="s">
        <v>42</v>
      </c>
      <c r="B20" s="25" t="s">
        <v>43</v>
      </c>
      <c r="C20" s="26" t="s">
        <v>27</v>
      </c>
      <c r="D20" s="26">
        <v>2016</v>
      </c>
      <c r="E20" s="26">
        <v>2018</v>
      </c>
      <c r="F20" s="27">
        <v>292495</v>
      </c>
      <c r="G20" s="27">
        <v>0</v>
      </c>
      <c r="H20" s="27">
        <v>58499</v>
      </c>
      <c r="I20" s="27">
        <v>116998</v>
      </c>
      <c r="J20" s="27">
        <v>116998</v>
      </c>
      <c r="K20" s="27">
        <f t="shared" si="5"/>
        <v>292495</v>
      </c>
    </row>
    <row r="21" spans="1:13" s="11" customFormat="1" ht="21.75" customHeight="1">
      <c r="A21" s="6" t="s">
        <v>44</v>
      </c>
      <c r="B21" s="145" t="s">
        <v>45</v>
      </c>
      <c r="C21" s="145"/>
      <c r="D21" s="145"/>
      <c r="E21" s="145"/>
      <c r="F21" s="9">
        <f>SUM(F22:F23)</f>
        <v>0</v>
      </c>
      <c r="G21" s="9">
        <f>SUM(G22:G23)</f>
        <v>0</v>
      </c>
      <c r="H21" s="9">
        <f>SUM(H22:H23)</f>
        <v>0</v>
      </c>
      <c r="I21" s="9">
        <f>SUM(I22:I23)</f>
        <v>0</v>
      </c>
      <c r="J21" s="9">
        <f>SUM(J22:J23)</f>
        <v>0</v>
      </c>
      <c r="K21" s="9">
        <f t="shared" si="5"/>
        <v>0</v>
      </c>
    </row>
    <row r="22" spans="1:13" s="11" customFormat="1" ht="18.75" customHeight="1">
      <c r="A22" s="6" t="s">
        <v>46</v>
      </c>
      <c r="B22" s="145" t="s">
        <v>16</v>
      </c>
      <c r="C22" s="145"/>
      <c r="D22" s="145"/>
      <c r="E22" s="145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5"/>
        <v>0</v>
      </c>
    </row>
    <row r="23" spans="1:13" s="11" customFormat="1" ht="18.75" customHeight="1">
      <c r="A23" s="6" t="s">
        <v>47</v>
      </c>
      <c r="B23" s="145" t="s">
        <v>18</v>
      </c>
      <c r="C23" s="145"/>
      <c r="D23" s="145"/>
      <c r="E23" s="145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f t="shared" si="5"/>
        <v>0</v>
      </c>
    </row>
    <row r="24" spans="1:13" s="11" customFormat="1" ht="18.75" customHeight="1">
      <c r="A24" s="6" t="s">
        <v>48</v>
      </c>
      <c r="B24" s="145" t="s">
        <v>49</v>
      </c>
      <c r="C24" s="145"/>
      <c r="D24" s="145"/>
      <c r="E24" s="145"/>
      <c r="F24" s="9">
        <f>SUM(F25,F27)</f>
        <v>12985759</v>
      </c>
      <c r="G24" s="9">
        <f>SUM(G25,G27)</f>
        <v>871000</v>
      </c>
      <c r="H24" s="9">
        <f>SUM(H25,H27)</f>
        <v>2918683</v>
      </c>
      <c r="I24" s="9">
        <f>SUM(I25,I27)</f>
        <v>4600000</v>
      </c>
      <c r="J24" s="9">
        <f>SUM(J25,J27)</f>
        <v>4100000</v>
      </c>
      <c r="K24" s="9">
        <f t="shared" si="5"/>
        <v>12489683</v>
      </c>
    </row>
    <row r="25" spans="1:13" s="11" customFormat="1" ht="18.75" customHeight="1">
      <c r="A25" s="6" t="s">
        <v>50</v>
      </c>
      <c r="B25" s="145" t="s">
        <v>16</v>
      </c>
      <c r="C25" s="145"/>
      <c r="D25" s="145"/>
      <c r="E25" s="145"/>
      <c r="F25" s="9">
        <f t="shared" ref="F25:K25" si="6">SUM(F26)</f>
        <v>418000</v>
      </c>
      <c r="G25" s="9">
        <f t="shared" si="6"/>
        <v>78000</v>
      </c>
      <c r="H25" s="9">
        <f t="shared" si="6"/>
        <v>100000</v>
      </c>
      <c r="I25" s="9">
        <f t="shared" si="6"/>
        <v>100000</v>
      </c>
      <c r="J25" s="9">
        <f t="shared" si="6"/>
        <v>100000</v>
      </c>
      <c r="K25" s="9">
        <f t="shared" si="6"/>
        <v>378000</v>
      </c>
    </row>
    <row r="26" spans="1:13" s="33" customFormat="1" ht="48" customHeight="1">
      <c r="A26" s="28" t="s">
        <v>51</v>
      </c>
      <c r="B26" s="29" t="s">
        <v>52</v>
      </c>
      <c r="C26" s="30" t="s">
        <v>27</v>
      </c>
      <c r="D26" s="31">
        <v>2014</v>
      </c>
      <c r="E26" s="31">
        <v>2018</v>
      </c>
      <c r="F26" s="32">
        <v>418000</v>
      </c>
      <c r="G26" s="32">
        <v>78000</v>
      </c>
      <c r="H26" s="32">
        <v>100000</v>
      </c>
      <c r="I26" s="32">
        <v>100000</v>
      </c>
      <c r="J26" s="32">
        <v>100000</v>
      </c>
      <c r="K26" s="32">
        <f>SUM(G26:J26)</f>
        <v>378000</v>
      </c>
    </row>
    <row r="27" spans="1:13" s="11" customFormat="1" ht="18.75" customHeight="1">
      <c r="A27" s="6" t="s">
        <v>53</v>
      </c>
      <c r="B27" s="145" t="s">
        <v>18</v>
      </c>
      <c r="C27" s="145"/>
      <c r="D27" s="145"/>
      <c r="E27" s="145"/>
      <c r="F27" s="9">
        <f>SUM(F28:F33)</f>
        <v>12567759</v>
      </c>
      <c r="G27" s="9">
        <f t="shared" ref="G27:K27" si="7">SUM(G28:G33)</f>
        <v>793000</v>
      </c>
      <c r="H27" s="9">
        <f t="shared" si="7"/>
        <v>2818683</v>
      </c>
      <c r="I27" s="9">
        <f t="shared" si="7"/>
        <v>4500000</v>
      </c>
      <c r="J27" s="9">
        <f t="shared" si="7"/>
        <v>4000000</v>
      </c>
      <c r="K27" s="9">
        <f t="shared" si="7"/>
        <v>12111683</v>
      </c>
    </row>
    <row r="28" spans="1:13" s="17" customFormat="1" ht="31.5" customHeight="1">
      <c r="A28" s="34" t="s">
        <v>54</v>
      </c>
      <c r="B28" s="35" t="s">
        <v>55</v>
      </c>
      <c r="C28" s="36" t="s">
        <v>56</v>
      </c>
      <c r="D28" s="36">
        <v>2014</v>
      </c>
      <c r="E28" s="36">
        <v>2015</v>
      </c>
      <c r="F28" s="37">
        <v>264637</v>
      </c>
      <c r="G28" s="37">
        <v>250000</v>
      </c>
      <c r="H28" s="37"/>
      <c r="I28" s="37"/>
      <c r="J28" s="37"/>
      <c r="K28" s="37">
        <f t="shared" ref="K28:K30" si="8">SUM(G28:J28)</f>
        <v>250000</v>
      </c>
    </row>
    <row r="29" spans="1:13" s="17" customFormat="1" ht="32.25" customHeight="1">
      <c r="A29" s="12" t="s">
        <v>57</v>
      </c>
      <c r="B29" s="13" t="s">
        <v>58</v>
      </c>
      <c r="C29" s="15" t="s">
        <v>56</v>
      </c>
      <c r="D29" s="15">
        <v>2014</v>
      </c>
      <c r="E29" s="15">
        <v>2015</v>
      </c>
      <c r="F29" s="16">
        <v>165000</v>
      </c>
      <c r="G29" s="16">
        <v>130000</v>
      </c>
      <c r="H29" s="16"/>
      <c r="I29" s="16"/>
      <c r="J29" s="16"/>
      <c r="K29" s="16">
        <f t="shared" si="8"/>
        <v>130000</v>
      </c>
    </row>
    <row r="30" spans="1:13" s="17" customFormat="1" ht="19.5" customHeight="1">
      <c r="A30" s="12" t="s">
        <v>59</v>
      </c>
      <c r="B30" s="13" t="s">
        <v>60</v>
      </c>
      <c r="C30" s="15" t="s">
        <v>56</v>
      </c>
      <c r="D30" s="15">
        <v>2014</v>
      </c>
      <c r="E30" s="15">
        <v>2015</v>
      </c>
      <c r="F30" s="16">
        <v>504719</v>
      </c>
      <c r="G30" s="16">
        <v>300000</v>
      </c>
      <c r="H30" s="16"/>
      <c r="I30" s="16"/>
      <c r="J30" s="16"/>
      <c r="K30" s="16">
        <f t="shared" si="8"/>
        <v>300000</v>
      </c>
    </row>
    <row r="31" spans="1:13" s="17" customFormat="1" ht="48" customHeight="1">
      <c r="A31" s="12" t="s">
        <v>61</v>
      </c>
      <c r="B31" s="13" t="s">
        <v>62</v>
      </c>
      <c r="C31" s="15" t="s">
        <v>27</v>
      </c>
      <c r="D31" s="15">
        <v>2011</v>
      </c>
      <c r="E31" s="15">
        <v>2018</v>
      </c>
      <c r="F31" s="16">
        <v>11251720</v>
      </c>
      <c r="G31" s="16">
        <v>100000</v>
      </c>
      <c r="H31" s="16">
        <v>2450000</v>
      </c>
      <c r="I31" s="16">
        <v>4500000</v>
      </c>
      <c r="J31" s="16">
        <v>4000000</v>
      </c>
      <c r="K31" s="16">
        <f>SUM(G31:J31)</f>
        <v>11050000</v>
      </c>
    </row>
    <row r="32" spans="1:13" ht="48.75" customHeight="1">
      <c r="A32" s="12" t="s">
        <v>63</v>
      </c>
      <c r="B32" s="13" t="s">
        <v>64</v>
      </c>
      <c r="C32" s="14" t="s">
        <v>65</v>
      </c>
      <c r="D32" s="15">
        <v>2015</v>
      </c>
      <c r="E32" s="15">
        <v>2016</v>
      </c>
      <c r="F32" s="16">
        <v>71683</v>
      </c>
      <c r="G32" s="16">
        <v>3000</v>
      </c>
      <c r="H32" s="16">
        <v>68683</v>
      </c>
      <c r="I32" s="16"/>
      <c r="J32" s="16"/>
      <c r="K32" s="16">
        <f>SUM(G32:J32)</f>
        <v>71683</v>
      </c>
    </row>
    <row r="33" spans="1:11" s="38" customFormat="1" ht="18.75" customHeight="1">
      <c r="A33" s="24" t="s">
        <v>265</v>
      </c>
      <c r="B33" s="25" t="s">
        <v>267</v>
      </c>
      <c r="C33" s="140" t="s">
        <v>266</v>
      </c>
      <c r="D33" s="26">
        <v>2015</v>
      </c>
      <c r="E33" s="26">
        <v>2016</v>
      </c>
      <c r="F33" s="27">
        <v>310000</v>
      </c>
      <c r="G33" s="27">
        <v>10000</v>
      </c>
      <c r="H33" s="27">
        <v>300000</v>
      </c>
      <c r="I33" s="27"/>
      <c r="J33" s="27"/>
      <c r="K33" s="27">
        <f>SUM(G33:J33)</f>
        <v>310000</v>
      </c>
    </row>
    <row r="34" spans="1:11" s="38" customFormat="1" ht="16.5" customHeight="1">
      <c r="A34" s="134"/>
      <c r="B34" s="135"/>
      <c r="C34" s="136"/>
      <c r="D34" s="137"/>
      <c r="E34" s="137"/>
      <c r="F34" s="138"/>
      <c r="G34" s="138"/>
      <c r="H34" s="138"/>
      <c r="I34" s="138"/>
      <c r="J34" s="138"/>
      <c r="K34" s="138"/>
    </row>
    <row r="35" spans="1:11" s="40" customFormat="1" ht="17.25" customHeight="1">
      <c r="A35" s="150" t="s">
        <v>66</v>
      </c>
      <c r="B35" s="150"/>
      <c r="C35" s="39"/>
      <c r="D35" s="39"/>
      <c r="E35" s="39"/>
    </row>
    <row r="36" spans="1:11" s="40" customFormat="1" ht="17.25" customHeight="1">
      <c r="A36" s="150" t="s">
        <v>67</v>
      </c>
      <c r="B36" s="150"/>
      <c r="C36" s="39"/>
      <c r="D36" s="39"/>
      <c r="E36" s="39"/>
    </row>
  </sheetData>
  <sheetProtection algorithmName="SHA-512" hashValue="Pa4A4UJWeFS+JUCtF1pA07QBRd+bN9HdCgvUJxIcgt7aFqCy8Bk83dtQfkW+VCQLB/FesVo6D2hbzSmB7c0oDQ==" saltValue="UGY0r6/3VaPW5F6SeRMQPg==" spinCount="100000" sheet="1" objects="1" scenarios="1" formatColumns="0" formatRows="0"/>
  <mergeCells count="25">
    <mergeCell ref="B27:E27"/>
    <mergeCell ref="A35:B35"/>
    <mergeCell ref="A36:B36"/>
    <mergeCell ref="B17:E17"/>
    <mergeCell ref="B21:E21"/>
    <mergeCell ref="B22:E22"/>
    <mergeCell ref="B23:E23"/>
    <mergeCell ref="B24:E24"/>
    <mergeCell ref="B25:E25"/>
    <mergeCell ref="B10:E10"/>
    <mergeCell ref="A1:K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B6:E6"/>
    <mergeCell ref="B7:E7"/>
    <mergeCell ref="B8:E8"/>
    <mergeCell ref="B9:E9"/>
  </mergeCells>
  <pageMargins left="0.15748031496062992" right="0.15748031496062992" top="1.1811023622047245" bottom="1.1023622047244095" header="0.47244094488188981" footer="0.31496062992125984"/>
  <pageSetup paperSize="9" scale="80" fitToWidth="0" fitToHeight="0" orientation="landscape" horizontalDpi="4294967295" r:id="rId1"/>
  <headerFooter differentOddEven="1" differentFirst="1" alignWithMargins="0">
    <oddFooter>&amp;C&amp;"Times New Roman,Normalny"&amp;P</oddFooter>
    <evenHeader>&amp;C&amp;"Times New Roman,Normalny"&amp;P</evenHeader>
    <firstHeader>&amp;R&amp;"Times New Roman,Normalny"Załącznik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Jolanta Wyszomirska</cp:lastModifiedBy>
  <cp:lastPrinted>2015-10-21T11:08:33Z</cp:lastPrinted>
  <dcterms:created xsi:type="dcterms:W3CDTF">2015-10-09T08:31:45Z</dcterms:created>
  <dcterms:modified xsi:type="dcterms:W3CDTF">2015-10-22T06:24:42Z</dcterms:modified>
</cp:coreProperties>
</file>