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3040" windowHeight="9090"/>
  </bookViews>
  <sheets>
    <sheet name="Zał.1" sheetId="72" r:id="rId1"/>
    <sheet name="Zał. 2 " sheetId="70" r:id="rId2"/>
  </sheets>
  <externalReferences>
    <externalReference r:id="rId3"/>
    <externalReference r:id="rId4"/>
    <externalReference r:id="rId5"/>
    <externalReference r:id="rId6"/>
  </externalReferences>
  <definedNames>
    <definedName name="IdWzor" localSheetId="0">[4]DaneZrodlowe!$N$3</definedName>
    <definedName name="IdWzor">[1]DaneZrodlowe!$N$3</definedName>
    <definedName name="KwartalRb">[2]definicja!$B$5</definedName>
    <definedName name="_xlnm.Print_Area" localSheetId="0">Zał.1!$A$1:$T$110</definedName>
    <definedName name="Ostatni_rok_analizy" localSheetId="0">[4]WPF_Analiza!$M$1</definedName>
    <definedName name="Ostatni_rok_analizy">[3]WPF_Analiza!$L$1</definedName>
    <definedName name="Rok_bazowy">[2]DaneZrodlowe!$O$1</definedName>
    <definedName name="RokBazowy" localSheetId="0">[4]DaneZrodlowe!$N$1</definedName>
    <definedName name="RokBazowy">[3]DaneZrodlowe!$N$1</definedName>
    <definedName name="RokMaxProg" localSheetId="0">[4]DaneZrodlowe!$N$2</definedName>
    <definedName name="RokMaxProg">[3]DaneZrodlowe!$Q$1</definedName>
    <definedName name="RokRb">[2]definicja!$B$4</definedName>
    <definedName name="_xlnm.Print_Titles" localSheetId="1">'Zał. 2 '!$4:$5</definedName>
    <definedName name="_xlnm.Print_Titles" localSheetId="0">Zał.1!$A:$B,Zał.1!$2:$3</definedName>
    <definedName name="version" localSheetId="0">[4]definicja!$D$1</definedName>
    <definedName name="version">[3]definicja!$D$1</definedName>
    <definedName name="WydatkiPar">[2]definicja!$H$5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Zał.1!$A$2:$T$110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T110" i="72" l="1"/>
  <c r="S110" i="72"/>
  <c r="R110" i="72"/>
  <c r="Q110" i="72"/>
  <c r="P110" i="72"/>
  <c r="O110" i="72"/>
  <c r="N110" i="72"/>
  <c r="M110" i="72"/>
  <c r="L110" i="72"/>
  <c r="K110" i="72"/>
  <c r="J110" i="72"/>
  <c r="I110" i="72"/>
  <c r="H110" i="72"/>
  <c r="G110" i="72"/>
  <c r="T109" i="72"/>
  <c r="S109" i="72"/>
  <c r="R109" i="72"/>
  <c r="Q109" i="72"/>
  <c r="P109" i="72"/>
  <c r="O109" i="72"/>
  <c r="N109" i="72"/>
  <c r="M109" i="72"/>
  <c r="L109" i="72"/>
  <c r="K109" i="72"/>
  <c r="J109" i="72"/>
  <c r="I109" i="72"/>
  <c r="H109" i="72"/>
  <c r="G109" i="72"/>
  <c r="T108" i="72"/>
  <c r="S108" i="72"/>
  <c r="R108" i="72"/>
  <c r="Q108" i="72"/>
  <c r="P108" i="72"/>
  <c r="O108" i="72"/>
  <c r="N108" i="72"/>
  <c r="M108" i="72"/>
  <c r="L108" i="72"/>
  <c r="K108" i="72"/>
  <c r="J108" i="72"/>
  <c r="I108" i="72"/>
  <c r="H108" i="72"/>
  <c r="G108" i="72"/>
  <c r="F108" i="72"/>
  <c r="E108" i="72"/>
  <c r="D108" i="72"/>
  <c r="C108" i="72"/>
  <c r="T106" i="72"/>
  <c r="S106" i="72"/>
  <c r="R106" i="72"/>
  <c r="Q106" i="72"/>
  <c r="P106" i="72"/>
  <c r="O106" i="72"/>
  <c r="N106" i="72"/>
  <c r="M106" i="72"/>
  <c r="L106" i="72"/>
  <c r="K106" i="72"/>
  <c r="J106" i="72"/>
  <c r="I106" i="72"/>
  <c r="H106" i="72"/>
  <c r="G106" i="72"/>
  <c r="F106" i="72"/>
  <c r="E106" i="72"/>
  <c r="D106" i="72"/>
  <c r="C106" i="72"/>
  <c r="T105" i="72"/>
  <c r="S105" i="72"/>
  <c r="R105" i="72"/>
  <c r="Q105" i="72"/>
  <c r="P105" i="72"/>
  <c r="O105" i="72"/>
  <c r="N105" i="72"/>
  <c r="M105" i="72"/>
  <c r="L105" i="72"/>
  <c r="K105" i="72"/>
  <c r="J105" i="72"/>
  <c r="I105" i="72"/>
  <c r="H105" i="72"/>
  <c r="G105" i="72"/>
  <c r="F105" i="72"/>
  <c r="E105" i="72"/>
  <c r="D105" i="72"/>
  <c r="C105" i="72"/>
  <c r="T104" i="72"/>
  <c r="S104" i="72"/>
  <c r="R104" i="72"/>
  <c r="Q104" i="72"/>
  <c r="P104" i="72"/>
  <c r="O104" i="72"/>
  <c r="N104" i="72"/>
  <c r="M104" i="72"/>
  <c r="L104" i="72"/>
  <c r="K104" i="72"/>
  <c r="J104" i="72"/>
  <c r="I104" i="72"/>
  <c r="H104" i="72"/>
  <c r="G104" i="72"/>
  <c r="F104" i="72"/>
  <c r="E104" i="72"/>
  <c r="D104" i="72"/>
  <c r="C104" i="72"/>
  <c r="T102" i="72"/>
  <c r="S102" i="72"/>
  <c r="R102" i="72"/>
  <c r="Q102" i="72"/>
  <c r="P102" i="72"/>
  <c r="O102" i="72"/>
  <c r="N102" i="72"/>
  <c r="M102" i="72"/>
  <c r="L102" i="72"/>
  <c r="K102" i="72"/>
  <c r="J102" i="72"/>
  <c r="I102" i="72"/>
  <c r="H102" i="72"/>
  <c r="G102" i="72"/>
  <c r="F102" i="72"/>
  <c r="E102" i="72"/>
  <c r="D102" i="72"/>
  <c r="C102" i="72"/>
  <c r="T101" i="72"/>
  <c r="S101" i="72"/>
  <c r="R101" i="72"/>
  <c r="Q101" i="72"/>
  <c r="P101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C101" i="72"/>
  <c r="T100" i="72"/>
  <c r="S100" i="72"/>
  <c r="R100" i="72"/>
  <c r="Q100" i="72"/>
  <c r="P100" i="72"/>
  <c r="O100" i="72"/>
  <c r="N100" i="72"/>
  <c r="M100" i="72"/>
  <c r="L100" i="72"/>
  <c r="K100" i="72"/>
  <c r="J100" i="72"/>
  <c r="I100" i="72"/>
  <c r="H100" i="72"/>
  <c r="G100" i="72"/>
  <c r="F100" i="72"/>
  <c r="E100" i="72"/>
  <c r="D100" i="72"/>
  <c r="C100" i="72"/>
  <c r="T99" i="72"/>
  <c r="S99" i="72"/>
  <c r="R99" i="72"/>
  <c r="Q99" i="72"/>
  <c r="P99" i="72"/>
  <c r="O99" i="72"/>
  <c r="N99" i="72"/>
  <c r="M99" i="72"/>
  <c r="L99" i="72"/>
  <c r="K99" i="72"/>
  <c r="J99" i="72"/>
  <c r="I99" i="72"/>
  <c r="H99" i="72"/>
  <c r="G99" i="72"/>
  <c r="F99" i="72"/>
  <c r="E99" i="72"/>
  <c r="D99" i="72"/>
  <c r="C99" i="72"/>
  <c r="T98" i="72"/>
  <c r="S98" i="72"/>
  <c r="R98" i="72"/>
  <c r="Q98" i="72"/>
  <c r="P98" i="72"/>
  <c r="O98" i="72"/>
  <c r="N98" i="72"/>
  <c r="M98" i="72"/>
  <c r="L98" i="72"/>
  <c r="K98" i="72"/>
  <c r="J98" i="72"/>
  <c r="I98" i="72"/>
  <c r="H98" i="72"/>
  <c r="G98" i="72"/>
  <c r="F98" i="72"/>
  <c r="E98" i="72"/>
  <c r="D98" i="72"/>
  <c r="C98" i="72"/>
  <c r="T97" i="72"/>
  <c r="S97" i="72"/>
  <c r="R97" i="72"/>
  <c r="Q97" i="72"/>
  <c r="P97" i="72"/>
  <c r="O97" i="72"/>
  <c r="N97" i="72"/>
  <c r="M97" i="72"/>
  <c r="L97" i="72"/>
  <c r="K97" i="72"/>
  <c r="J97" i="72"/>
  <c r="I97" i="72"/>
  <c r="H97" i="72"/>
  <c r="G97" i="72"/>
  <c r="F97" i="72"/>
  <c r="E97" i="72"/>
  <c r="D97" i="72"/>
  <c r="C97" i="72"/>
  <c r="T96" i="72"/>
  <c r="S96" i="72"/>
  <c r="R96" i="72"/>
  <c r="Q96" i="72"/>
  <c r="P96" i="72"/>
  <c r="O96" i="72"/>
  <c r="N96" i="72"/>
  <c r="M96" i="72"/>
  <c r="L96" i="72"/>
  <c r="K96" i="72"/>
  <c r="J96" i="72"/>
  <c r="I96" i="72"/>
  <c r="H96" i="72"/>
  <c r="G96" i="72"/>
  <c r="F96" i="72"/>
  <c r="E96" i="72"/>
  <c r="D96" i="72"/>
  <c r="C96" i="72"/>
  <c r="T95" i="72"/>
  <c r="S95" i="72"/>
  <c r="R95" i="72"/>
  <c r="Q95" i="72"/>
  <c r="P95" i="72"/>
  <c r="O95" i="72"/>
  <c r="N95" i="72"/>
  <c r="M95" i="72"/>
  <c r="L95" i="72"/>
  <c r="K95" i="72"/>
  <c r="J95" i="72"/>
  <c r="I95" i="72"/>
  <c r="H95" i="72"/>
  <c r="G95" i="72"/>
  <c r="F95" i="72"/>
  <c r="E95" i="72"/>
  <c r="D95" i="72"/>
  <c r="C95" i="72"/>
  <c r="T94" i="72"/>
  <c r="S94" i="72"/>
  <c r="R94" i="72"/>
  <c r="Q94" i="72"/>
  <c r="P94" i="72"/>
  <c r="O94" i="72"/>
  <c r="N94" i="72"/>
  <c r="M94" i="72"/>
  <c r="L94" i="72"/>
  <c r="K94" i="72"/>
  <c r="J94" i="72"/>
  <c r="I94" i="72"/>
  <c r="H94" i="72"/>
  <c r="G94" i="72"/>
  <c r="F94" i="72"/>
  <c r="E94" i="72"/>
  <c r="D94" i="72"/>
  <c r="C94" i="72"/>
  <c r="T93" i="72"/>
  <c r="S93" i="72"/>
  <c r="R93" i="72"/>
  <c r="Q93" i="72"/>
  <c r="P93" i="72"/>
  <c r="O93" i="72"/>
  <c r="N93" i="72"/>
  <c r="M93" i="72"/>
  <c r="L93" i="72"/>
  <c r="K93" i="72"/>
  <c r="J93" i="72"/>
  <c r="I93" i="72"/>
  <c r="H93" i="72"/>
  <c r="G93" i="72"/>
  <c r="F93" i="72"/>
  <c r="E93" i="72"/>
  <c r="D93" i="72"/>
  <c r="C93" i="72"/>
  <c r="T92" i="72"/>
  <c r="S92" i="72"/>
  <c r="R92" i="72"/>
  <c r="Q92" i="72"/>
  <c r="P92" i="72"/>
  <c r="O92" i="72"/>
  <c r="N92" i="72"/>
  <c r="M92" i="72"/>
  <c r="L92" i="72"/>
  <c r="K92" i="72"/>
  <c r="J92" i="72"/>
  <c r="I92" i="72"/>
  <c r="H92" i="72"/>
  <c r="G92" i="72"/>
  <c r="F92" i="72"/>
  <c r="E92" i="72"/>
  <c r="D92" i="72"/>
  <c r="C92" i="72"/>
  <c r="T91" i="72"/>
  <c r="S91" i="72"/>
  <c r="R91" i="72"/>
  <c r="Q91" i="72"/>
  <c r="P91" i="72"/>
  <c r="O91" i="72"/>
  <c r="N91" i="72"/>
  <c r="M91" i="72"/>
  <c r="L91" i="72"/>
  <c r="K91" i="72"/>
  <c r="J91" i="72"/>
  <c r="I91" i="72"/>
  <c r="H91" i="72"/>
  <c r="G91" i="72"/>
  <c r="F91" i="72"/>
  <c r="E91" i="72"/>
  <c r="D91" i="72"/>
  <c r="C91" i="72"/>
  <c r="T90" i="72"/>
  <c r="S90" i="72"/>
  <c r="R90" i="72"/>
  <c r="Q90" i="72"/>
  <c r="P90" i="72"/>
  <c r="O90" i="72"/>
  <c r="N90" i="72"/>
  <c r="M90" i="72"/>
  <c r="L90" i="72"/>
  <c r="K90" i="72"/>
  <c r="J90" i="72"/>
  <c r="I90" i="72"/>
  <c r="H90" i="72"/>
  <c r="G90" i="72"/>
  <c r="F90" i="72"/>
  <c r="E90" i="72"/>
  <c r="D90" i="72"/>
  <c r="C90" i="72"/>
  <c r="T89" i="72"/>
  <c r="S89" i="72"/>
  <c r="R89" i="72"/>
  <c r="Q89" i="72"/>
  <c r="P89" i="72"/>
  <c r="O89" i="72"/>
  <c r="N89" i="72"/>
  <c r="M89" i="72"/>
  <c r="L89" i="72"/>
  <c r="K89" i="72"/>
  <c r="J89" i="72"/>
  <c r="I89" i="72"/>
  <c r="H89" i="72"/>
  <c r="G89" i="72"/>
  <c r="F89" i="72"/>
  <c r="E89" i="72"/>
  <c r="D89" i="72"/>
  <c r="C89" i="72"/>
  <c r="T88" i="72"/>
  <c r="S88" i="72"/>
  <c r="R88" i="72"/>
  <c r="Q88" i="72"/>
  <c r="P88" i="72"/>
  <c r="O88" i="72"/>
  <c r="N88" i="72"/>
  <c r="M88" i="72"/>
  <c r="L88" i="72"/>
  <c r="K88" i="72"/>
  <c r="J88" i="72"/>
  <c r="I88" i="72"/>
  <c r="H88" i="72"/>
  <c r="G88" i="72"/>
  <c r="F88" i="72"/>
  <c r="E88" i="72"/>
  <c r="D88" i="72"/>
  <c r="C88" i="72"/>
  <c r="T87" i="72"/>
  <c r="S87" i="72"/>
  <c r="R87" i="72"/>
  <c r="Q87" i="72"/>
  <c r="P87" i="72"/>
  <c r="O87" i="72"/>
  <c r="N87" i="72"/>
  <c r="M87" i="72"/>
  <c r="L87" i="72"/>
  <c r="K87" i="72"/>
  <c r="J87" i="72"/>
  <c r="I87" i="72"/>
  <c r="H87" i="72"/>
  <c r="G87" i="72"/>
  <c r="F87" i="72"/>
  <c r="E87" i="72"/>
  <c r="D87" i="72"/>
  <c r="C87" i="72"/>
  <c r="T86" i="72"/>
  <c r="S86" i="72"/>
  <c r="R86" i="72"/>
  <c r="Q86" i="72"/>
  <c r="P86" i="72"/>
  <c r="O86" i="72"/>
  <c r="N86" i="72"/>
  <c r="M86" i="72"/>
  <c r="L86" i="72"/>
  <c r="K86" i="72"/>
  <c r="J86" i="72"/>
  <c r="I86" i="72"/>
  <c r="H86" i="72"/>
  <c r="G86" i="72"/>
  <c r="F86" i="72"/>
  <c r="E86" i="72"/>
  <c r="D86" i="72"/>
  <c r="C86" i="72"/>
  <c r="T85" i="72"/>
  <c r="S85" i="72"/>
  <c r="R85" i="72"/>
  <c r="Q85" i="72"/>
  <c r="P85" i="72"/>
  <c r="O85" i="72"/>
  <c r="N85" i="72"/>
  <c r="M85" i="72"/>
  <c r="L85" i="72"/>
  <c r="K85" i="72"/>
  <c r="J85" i="72"/>
  <c r="I85" i="72"/>
  <c r="H85" i="72"/>
  <c r="G85" i="72"/>
  <c r="F85" i="72"/>
  <c r="E85" i="72"/>
  <c r="D85" i="72"/>
  <c r="C85" i="72"/>
  <c r="T83" i="72"/>
  <c r="S83" i="72"/>
  <c r="R83" i="72"/>
  <c r="Q83" i="72"/>
  <c r="P83" i="72"/>
  <c r="O83" i="72"/>
  <c r="N83" i="72"/>
  <c r="M83" i="72"/>
  <c r="L83" i="72"/>
  <c r="K83" i="72"/>
  <c r="J83" i="72"/>
  <c r="I83" i="72"/>
  <c r="H83" i="72"/>
  <c r="G83" i="72"/>
  <c r="F83" i="72"/>
  <c r="E83" i="72"/>
  <c r="D83" i="72"/>
  <c r="C83" i="72"/>
  <c r="T82" i="72"/>
  <c r="S82" i="72"/>
  <c r="R82" i="72"/>
  <c r="Q82" i="72"/>
  <c r="P82" i="72"/>
  <c r="O82" i="72"/>
  <c r="N82" i="72"/>
  <c r="M82" i="72"/>
  <c r="L82" i="72"/>
  <c r="K82" i="72"/>
  <c r="J82" i="72"/>
  <c r="I82" i="72"/>
  <c r="H82" i="72"/>
  <c r="G82" i="72"/>
  <c r="F82" i="72"/>
  <c r="E82" i="72"/>
  <c r="D82" i="72"/>
  <c r="C82" i="72"/>
  <c r="T81" i="72"/>
  <c r="S81" i="72"/>
  <c r="R81" i="72"/>
  <c r="Q81" i="72"/>
  <c r="P81" i="72"/>
  <c r="O81" i="72"/>
  <c r="N81" i="72"/>
  <c r="M81" i="72"/>
  <c r="L81" i="72"/>
  <c r="K81" i="72"/>
  <c r="J81" i="72"/>
  <c r="I81" i="72"/>
  <c r="H81" i="72"/>
  <c r="G81" i="72"/>
  <c r="F81" i="72"/>
  <c r="E81" i="72"/>
  <c r="D81" i="72"/>
  <c r="C81" i="72"/>
  <c r="T80" i="72"/>
  <c r="S80" i="72"/>
  <c r="R80" i="72"/>
  <c r="Q80" i="72"/>
  <c r="P80" i="72"/>
  <c r="O80" i="72"/>
  <c r="N80" i="72"/>
  <c r="M80" i="72"/>
  <c r="L80" i="72"/>
  <c r="K80" i="72"/>
  <c r="J80" i="72"/>
  <c r="I80" i="72"/>
  <c r="H80" i="72"/>
  <c r="G80" i="72"/>
  <c r="F80" i="72"/>
  <c r="E80" i="72"/>
  <c r="D80" i="72"/>
  <c r="C80" i="72"/>
  <c r="T79" i="72"/>
  <c r="S79" i="72"/>
  <c r="R79" i="72"/>
  <c r="Q79" i="72"/>
  <c r="P79" i="72"/>
  <c r="O79" i="72"/>
  <c r="N79" i="72"/>
  <c r="M79" i="72"/>
  <c r="L79" i="72"/>
  <c r="K79" i="72"/>
  <c r="J79" i="72"/>
  <c r="I79" i="72"/>
  <c r="H79" i="72"/>
  <c r="G79" i="72"/>
  <c r="F79" i="72"/>
  <c r="E79" i="72"/>
  <c r="D79" i="72"/>
  <c r="C79" i="72"/>
  <c r="T78" i="72"/>
  <c r="S78" i="72"/>
  <c r="R78" i="72"/>
  <c r="Q78" i="72"/>
  <c r="P78" i="72"/>
  <c r="O78" i="72"/>
  <c r="N78" i="72"/>
  <c r="M78" i="72"/>
  <c r="L78" i="72"/>
  <c r="K78" i="72"/>
  <c r="J78" i="72"/>
  <c r="I78" i="72"/>
  <c r="H78" i="72"/>
  <c r="G78" i="72"/>
  <c r="F78" i="72"/>
  <c r="E78" i="72"/>
  <c r="D78" i="72"/>
  <c r="C78" i="72"/>
  <c r="T77" i="72"/>
  <c r="S77" i="72"/>
  <c r="R77" i="72"/>
  <c r="Q77" i="72"/>
  <c r="P77" i="72"/>
  <c r="O77" i="72"/>
  <c r="N77" i="72"/>
  <c r="M77" i="72"/>
  <c r="L77" i="72"/>
  <c r="K77" i="72"/>
  <c r="J77" i="72"/>
  <c r="I77" i="72"/>
  <c r="H77" i="72"/>
  <c r="G77" i="72"/>
  <c r="F77" i="72"/>
  <c r="E77" i="72"/>
  <c r="D77" i="72"/>
  <c r="C77" i="72"/>
  <c r="T76" i="72"/>
  <c r="S76" i="72"/>
  <c r="R76" i="72"/>
  <c r="Q76" i="72"/>
  <c r="P76" i="72"/>
  <c r="O76" i="72"/>
  <c r="N76" i="72"/>
  <c r="M76" i="72"/>
  <c r="L76" i="72"/>
  <c r="K76" i="72"/>
  <c r="J76" i="72"/>
  <c r="I76" i="72"/>
  <c r="H76" i="72"/>
  <c r="G76" i="72"/>
  <c r="F76" i="72"/>
  <c r="E76" i="72"/>
  <c r="D76" i="72"/>
  <c r="C76" i="72"/>
  <c r="T75" i="72"/>
  <c r="S75" i="72"/>
  <c r="R75" i="72"/>
  <c r="Q75" i="72"/>
  <c r="P75" i="72"/>
  <c r="O75" i="72"/>
  <c r="N75" i="72"/>
  <c r="M75" i="72"/>
  <c r="L75" i="72"/>
  <c r="K75" i="72"/>
  <c r="J75" i="72"/>
  <c r="I75" i="72"/>
  <c r="H75" i="72"/>
  <c r="G75" i="72"/>
  <c r="F75" i="72"/>
  <c r="E75" i="72"/>
  <c r="D75" i="72"/>
  <c r="C75" i="72"/>
  <c r="T74" i="72"/>
  <c r="S74" i="72"/>
  <c r="R74" i="72"/>
  <c r="Q74" i="72"/>
  <c r="P74" i="72"/>
  <c r="O74" i="72"/>
  <c r="N74" i="72"/>
  <c r="M74" i="72"/>
  <c r="L74" i="72"/>
  <c r="K74" i="72"/>
  <c r="J74" i="72"/>
  <c r="I74" i="72"/>
  <c r="H74" i="72"/>
  <c r="G74" i="72"/>
  <c r="F74" i="72"/>
  <c r="E74" i="72"/>
  <c r="D74" i="72"/>
  <c r="C74" i="72"/>
  <c r="T73" i="72"/>
  <c r="S73" i="72"/>
  <c r="R73" i="72"/>
  <c r="Q73" i="72"/>
  <c r="P73" i="72"/>
  <c r="O73" i="72"/>
  <c r="N73" i="72"/>
  <c r="M73" i="72"/>
  <c r="L73" i="72"/>
  <c r="K73" i="72"/>
  <c r="J73" i="72"/>
  <c r="I73" i="72"/>
  <c r="H73" i="72"/>
  <c r="G73" i="72"/>
  <c r="F73" i="72"/>
  <c r="E73" i="72"/>
  <c r="D73" i="72"/>
  <c r="C73" i="72"/>
  <c r="T72" i="72"/>
  <c r="S72" i="72"/>
  <c r="R72" i="72"/>
  <c r="Q72" i="72"/>
  <c r="P72" i="72"/>
  <c r="O72" i="72"/>
  <c r="N72" i="72"/>
  <c r="M72" i="72"/>
  <c r="L72" i="72"/>
  <c r="K72" i="72"/>
  <c r="J72" i="72"/>
  <c r="I72" i="72"/>
  <c r="H72" i="72"/>
  <c r="G72" i="72"/>
  <c r="F72" i="72"/>
  <c r="E72" i="72"/>
  <c r="D72" i="72"/>
  <c r="C72" i="72"/>
  <c r="T68" i="72"/>
  <c r="S68" i="72"/>
  <c r="R68" i="72"/>
  <c r="Q68" i="72"/>
  <c r="P68" i="72"/>
  <c r="O68" i="72"/>
  <c r="N68" i="72"/>
  <c r="M68" i="72"/>
  <c r="L68" i="72"/>
  <c r="K68" i="72"/>
  <c r="J68" i="72"/>
  <c r="I68" i="72"/>
  <c r="H68" i="72"/>
  <c r="G68" i="72"/>
  <c r="T67" i="72"/>
  <c r="S67" i="72"/>
  <c r="R67" i="72"/>
  <c r="Q67" i="72"/>
  <c r="P67" i="72"/>
  <c r="O67" i="72"/>
  <c r="N67" i="72"/>
  <c r="M67" i="72"/>
  <c r="L67" i="72"/>
  <c r="K67" i="72"/>
  <c r="J67" i="72"/>
  <c r="I67" i="72"/>
  <c r="H67" i="72"/>
  <c r="G67" i="72"/>
  <c r="T64" i="72"/>
  <c r="S64" i="72"/>
  <c r="R64" i="72"/>
  <c r="Q64" i="72"/>
  <c r="P64" i="72"/>
  <c r="O64" i="72"/>
  <c r="N64" i="72"/>
  <c r="M64" i="72"/>
  <c r="L64" i="72"/>
  <c r="K64" i="72"/>
  <c r="J64" i="72"/>
  <c r="I64" i="72"/>
  <c r="H64" i="72"/>
  <c r="G64" i="72"/>
  <c r="T63" i="72"/>
  <c r="S63" i="72"/>
  <c r="R63" i="72"/>
  <c r="Q63" i="72"/>
  <c r="P63" i="72"/>
  <c r="O63" i="72"/>
  <c r="N63" i="72"/>
  <c r="M63" i="72"/>
  <c r="L63" i="72"/>
  <c r="K63" i="72"/>
  <c r="J63" i="72"/>
  <c r="I63" i="72"/>
  <c r="H63" i="72"/>
  <c r="G63" i="72"/>
  <c r="T62" i="72"/>
  <c r="S62" i="72"/>
  <c r="R62" i="72"/>
  <c r="Q62" i="72"/>
  <c r="P62" i="72"/>
  <c r="O62" i="72"/>
  <c r="N62" i="72"/>
  <c r="M62" i="72"/>
  <c r="L62" i="72"/>
  <c r="K62" i="72"/>
  <c r="J62" i="72"/>
  <c r="I62" i="72"/>
  <c r="H62" i="72"/>
  <c r="G62" i="72"/>
  <c r="F62" i="72"/>
  <c r="E62" i="72"/>
  <c r="D62" i="72"/>
  <c r="C62" i="72"/>
  <c r="T61" i="72"/>
  <c r="S61" i="72"/>
  <c r="R61" i="72"/>
  <c r="Q61" i="72"/>
  <c r="P61" i="72"/>
  <c r="O61" i="72"/>
  <c r="N61" i="72"/>
  <c r="M61" i="72"/>
  <c r="L61" i="72"/>
  <c r="K61" i="72"/>
  <c r="J61" i="72"/>
  <c r="I61" i="72"/>
  <c r="H61" i="72"/>
  <c r="G61" i="72"/>
  <c r="F61" i="72"/>
  <c r="E61" i="72"/>
  <c r="D61" i="72"/>
  <c r="C61" i="72"/>
  <c r="T60" i="72"/>
  <c r="S60" i="72"/>
  <c r="R60" i="72"/>
  <c r="Q60" i="72"/>
  <c r="P60" i="72"/>
  <c r="O60" i="72"/>
  <c r="N60" i="72"/>
  <c r="M60" i="72"/>
  <c r="L60" i="72"/>
  <c r="K60" i="72"/>
  <c r="J60" i="72"/>
  <c r="I60" i="72"/>
  <c r="H60" i="72"/>
  <c r="G60" i="72"/>
  <c r="F60" i="72"/>
  <c r="E60" i="72"/>
  <c r="D60" i="72"/>
  <c r="C60" i="72"/>
  <c r="T59" i="72"/>
  <c r="S59" i="72"/>
  <c r="R59" i="72"/>
  <c r="Q59" i="72"/>
  <c r="P59" i="72"/>
  <c r="O59" i="72"/>
  <c r="N59" i="72"/>
  <c r="M59" i="72"/>
  <c r="L59" i="72"/>
  <c r="K59" i="72"/>
  <c r="J59" i="72"/>
  <c r="I59" i="72"/>
  <c r="H59" i="72"/>
  <c r="G59" i="72"/>
  <c r="T58" i="72"/>
  <c r="S58" i="72"/>
  <c r="R58" i="72"/>
  <c r="Q58" i="72"/>
  <c r="P58" i="72"/>
  <c r="O58" i="72"/>
  <c r="N58" i="72"/>
  <c r="M58" i="72"/>
  <c r="L58" i="72"/>
  <c r="K58" i="72"/>
  <c r="J58" i="72"/>
  <c r="I58" i="72"/>
  <c r="H58" i="72"/>
  <c r="G58" i="72"/>
  <c r="T57" i="72"/>
  <c r="S57" i="72"/>
  <c r="S66" i="72" s="1"/>
  <c r="R57" i="72"/>
  <c r="R66" i="72" s="1"/>
  <c r="Q57" i="72"/>
  <c r="P57" i="72"/>
  <c r="O57" i="72"/>
  <c r="O66" i="72" s="1"/>
  <c r="N57" i="72"/>
  <c r="N66" i="72" s="1"/>
  <c r="M57" i="72"/>
  <c r="M65" i="72" s="1"/>
  <c r="L57" i="72"/>
  <c r="K57" i="72"/>
  <c r="K66" i="72" s="1"/>
  <c r="J57" i="72"/>
  <c r="J66" i="72" s="1"/>
  <c r="I57" i="72"/>
  <c r="H57" i="72"/>
  <c r="G57" i="72"/>
  <c r="G66" i="72" s="1"/>
  <c r="T55" i="72"/>
  <c r="S55" i="72"/>
  <c r="R55" i="72"/>
  <c r="Q55" i="72"/>
  <c r="P55" i="72"/>
  <c r="O55" i="72"/>
  <c r="N55" i="72"/>
  <c r="M55" i="72"/>
  <c r="L55" i="72"/>
  <c r="K55" i="72"/>
  <c r="J55" i="72"/>
  <c r="I55" i="72"/>
  <c r="H55" i="72"/>
  <c r="G55" i="72"/>
  <c r="F55" i="72"/>
  <c r="E55" i="72"/>
  <c r="D55" i="72"/>
  <c r="C55" i="72"/>
  <c r="T54" i="72"/>
  <c r="S54" i="72"/>
  <c r="R54" i="72"/>
  <c r="Q54" i="72"/>
  <c r="P54" i="72"/>
  <c r="O54" i="72"/>
  <c r="N54" i="72"/>
  <c r="M54" i="72"/>
  <c r="L54" i="72"/>
  <c r="K54" i="72"/>
  <c r="J54" i="72"/>
  <c r="I54" i="72"/>
  <c r="H54" i="72"/>
  <c r="G54" i="72"/>
  <c r="F54" i="72"/>
  <c r="E54" i="72"/>
  <c r="D54" i="72"/>
  <c r="C54" i="72"/>
  <c r="T52" i="72"/>
  <c r="S52" i="72"/>
  <c r="R52" i="72"/>
  <c r="Q52" i="72"/>
  <c r="P52" i="72"/>
  <c r="O52" i="72"/>
  <c r="N52" i="72"/>
  <c r="M52" i="72"/>
  <c r="L52" i="72"/>
  <c r="K52" i="72"/>
  <c r="J52" i="72"/>
  <c r="I52" i="72"/>
  <c r="H52" i="72"/>
  <c r="G52" i="72"/>
  <c r="F52" i="72"/>
  <c r="E52" i="72"/>
  <c r="D52" i="72"/>
  <c r="C52" i="72"/>
  <c r="T51" i="72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E51" i="72"/>
  <c r="D51" i="72"/>
  <c r="C51" i="72"/>
  <c r="T50" i="72"/>
  <c r="S50" i="72"/>
  <c r="R50" i="72"/>
  <c r="Q50" i="72"/>
  <c r="P50" i="72"/>
  <c r="O50" i="72"/>
  <c r="N50" i="72"/>
  <c r="M50" i="72"/>
  <c r="L50" i="72"/>
  <c r="K50" i="72"/>
  <c r="J50" i="72"/>
  <c r="I50" i="72"/>
  <c r="H50" i="72"/>
  <c r="G50" i="72"/>
  <c r="F50" i="72"/>
  <c r="E50" i="72"/>
  <c r="D50" i="72"/>
  <c r="C50" i="72"/>
  <c r="T49" i="72"/>
  <c r="S49" i="72"/>
  <c r="R49" i="72"/>
  <c r="Q49" i="72"/>
  <c r="P49" i="72"/>
  <c r="O49" i="72"/>
  <c r="N49" i="72"/>
  <c r="M49" i="72"/>
  <c r="L49" i="72"/>
  <c r="K49" i="72"/>
  <c r="J49" i="72"/>
  <c r="I49" i="72"/>
  <c r="H49" i="72"/>
  <c r="G49" i="72"/>
  <c r="F49" i="72"/>
  <c r="E49" i="72"/>
  <c r="D49" i="72"/>
  <c r="C49" i="72"/>
  <c r="T48" i="72"/>
  <c r="S48" i="72"/>
  <c r="R48" i="72"/>
  <c r="Q48" i="72"/>
  <c r="P48" i="72"/>
  <c r="O48" i="72"/>
  <c r="N48" i="72"/>
  <c r="M48" i="72"/>
  <c r="L48" i="72"/>
  <c r="K48" i="72"/>
  <c r="J48" i="72"/>
  <c r="I48" i="72"/>
  <c r="H48" i="72"/>
  <c r="G48" i="72"/>
  <c r="F48" i="72"/>
  <c r="E48" i="72"/>
  <c r="D48" i="72"/>
  <c r="C48" i="72"/>
  <c r="T47" i="72"/>
  <c r="S47" i="72"/>
  <c r="R47" i="72"/>
  <c r="Q47" i="72"/>
  <c r="P47" i="72"/>
  <c r="O47" i="72"/>
  <c r="N47" i="72"/>
  <c r="M47" i="72"/>
  <c r="L47" i="72"/>
  <c r="K47" i="72"/>
  <c r="J47" i="72"/>
  <c r="I47" i="72"/>
  <c r="H47" i="72"/>
  <c r="G47" i="72"/>
  <c r="F47" i="72"/>
  <c r="E47" i="72"/>
  <c r="D47" i="72"/>
  <c r="C47" i="72"/>
  <c r="T46" i="72"/>
  <c r="S46" i="72"/>
  <c r="R46" i="72"/>
  <c r="Q46" i="72"/>
  <c r="P46" i="72"/>
  <c r="O46" i="72"/>
  <c r="N46" i="72"/>
  <c r="M46" i="72"/>
  <c r="L46" i="72"/>
  <c r="K46" i="72"/>
  <c r="J46" i="72"/>
  <c r="I46" i="72"/>
  <c r="H46" i="72"/>
  <c r="G46" i="72"/>
  <c r="F46" i="72"/>
  <c r="E46" i="72"/>
  <c r="D46" i="72"/>
  <c r="C46" i="72"/>
  <c r="T45" i="72"/>
  <c r="S45" i="72"/>
  <c r="R45" i="72"/>
  <c r="Q45" i="72"/>
  <c r="P45" i="72"/>
  <c r="O45" i="72"/>
  <c r="N45" i="72"/>
  <c r="M45" i="72"/>
  <c r="L45" i="72"/>
  <c r="K45" i="72"/>
  <c r="J45" i="72"/>
  <c r="I45" i="72"/>
  <c r="H45" i="72"/>
  <c r="G45" i="72"/>
  <c r="F45" i="72"/>
  <c r="E45" i="72"/>
  <c r="D45" i="72"/>
  <c r="C45" i="72"/>
  <c r="T44" i="72"/>
  <c r="S44" i="72"/>
  <c r="R44" i="72"/>
  <c r="Q44" i="72"/>
  <c r="P44" i="72"/>
  <c r="O44" i="72"/>
  <c r="N44" i="72"/>
  <c r="M44" i="72"/>
  <c r="L44" i="72"/>
  <c r="K44" i="72"/>
  <c r="J44" i="72"/>
  <c r="I44" i="72"/>
  <c r="H44" i="72"/>
  <c r="G44" i="72"/>
  <c r="F44" i="72"/>
  <c r="E44" i="72"/>
  <c r="D44" i="72"/>
  <c r="C44" i="72"/>
  <c r="T43" i="72"/>
  <c r="S43" i="72"/>
  <c r="R43" i="72"/>
  <c r="Q43" i="72"/>
  <c r="P43" i="72"/>
  <c r="O43" i="72"/>
  <c r="N43" i="72"/>
  <c r="M43" i="72"/>
  <c r="L43" i="72"/>
  <c r="K43" i="72"/>
  <c r="J43" i="72"/>
  <c r="I43" i="72"/>
  <c r="H43" i="72"/>
  <c r="G43" i="72"/>
  <c r="F43" i="72"/>
  <c r="E43" i="72"/>
  <c r="D43" i="72"/>
  <c r="C43" i="72"/>
  <c r="T42" i="72"/>
  <c r="S42" i="72"/>
  <c r="R42" i="72"/>
  <c r="Q42" i="72"/>
  <c r="P42" i="72"/>
  <c r="O42" i="72"/>
  <c r="N42" i="72"/>
  <c r="M42" i="72"/>
  <c r="L42" i="72"/>
  <c r="K42" i="72"/>
  <c r="J42" i="72"/>
  <c r="I42" i="72"/>
  <c r="H42" i="72"/>
  <c r="G42" i="72"/>
  <c r="F42" i="72"/>
  <c r="E42" i="72"/>
  <c r="D42" i="72"/>
  <c r="C42" i="72"/>
  <c r="T41" i="72"/>
  <c r="S41" i="72"/>
  <c r="R41" i="72"/>
  <c r="Q41" i="72"/>
  <c r="P41" i="72"/>
  <c r="O41" i="72"/>
  <c r="N41" i="72"/>
  <c r="M41" i="72"/>
  <c r="L41" i="72"/>
  <c r="K41" i="72"/>
  <c r="J41" i="72"/>
  <c r="I41" i="72"/>
  <c r="H41" i="72"/>
  <c r="G41" i="72"/>
  <c r="F41" i="72"/>
  <c r="E41" i="72"/>
  <c r="D41" i="72"/>
  <c r="C41" i="72"/>
  <c r="T40" i="72"/>
  <c r="S40" i="72"/>
  <c r="R40" i="72"/>
  <c r="Q40" i="72"/>
  <c r="P40" i="72"/>
  <c r="O40" i="72"/>
  <c r="N40" i="72"/>
  <c r="M40" i="72"/>
  <c r="L40" i="72"/>
  <c r="K40" i="72"/>
  <c r="J40" i="72"/>
  <c r="I40" i="72"/>
  <c r="H40" i="72"/>
  <c r="G40" i="72"/>
  <c r="F40" i="72"/>
  <c r="E40" i="72"/>
  <c r="D40" i="72"/>
  <c r="C40" i="72"/>
  <c r="T39" i="72"/>
  <c r="S39" i="72"/>
  <c r="R39" i="72"/>
  <c r="Q39" i="72"/>
  <c r="P39" i="72"/>
  <c r="O39" i="72"/>
  <c r="N39" i="72"/>
  <c r="M39" i="72"/>
  <c r="L39" i="72"/>
  <c r="K39" i="72"/>
  <c r="J39" i="72"/>
  <c r="I39" i="72"/>
  <c r="H39" i="72"/>
  <c r="G39" i="72"/>
  <c r="F39" i="72"/>
  <c r="E39" i="72"/>
  <c r="D39" i="72"/>
  <c r="C39" i="72"/>
  <c r="T38" i="72"/>
  <c r="S38" i="72"/>
  <c r="R38" i="72"/>
  <c r="Q38" i="72"/>
  <c r="P38" i="72"/>
  <c r="O38" i="72"/>
  <c r="N38" i="72"/>
  <c r="M38" i="72"/>
  <c r="L38" i="72"/>
  <c r="K38" i="72"/>
  <c r="J38" i="72"/>
  <c r="I38" i="72"/>
  <c r="H38" i="72"/>
  <c r="G38" i="72"/>
  <c r="F38" i="72"/>
  <c r="E38" i="72"/>
  <c r="D38" i="72"/>
  <c r="C38" i="72"/>
  <c r="T37" i="72"/>
  <c r="S37" i="72"/>
  <c r="R37" i="72"/>
  <c r="Q37" i="72"/>
  <c r="P37" i="72"/>
  <c r="O37" i="72"/>
  <c r="N37" i="72"/>
  <c r="M37" i="72"/>
  <c r="L37" i="72"/>
  <c r="K37" i="72"/>
  <c r="J37" i="72"/>
  <c r="I37" i="72"/>
  <c r="H37" i="72"/>
  <c r="G37" i="72"/>
  <c r="F37" i="72"/>
  <c r="E37" i="72"/>
  <c r="D37" i="72"/>
  <c r="C37" i="72"/>
  <c r="T36" i="72"/>
  <c r="S36" i="72"/>
  <c r="R36" i="72"/>
  <c r="Q36" i="72"/>
  <c r="P36" i="72"/>
  <c r="O36" i="72"/>
  <c r="N36" i="72"/>
  <c r="M36" i="72"/>
  <c r="L36" i="72"/>
  <c r="K36" i="72"/>
  <c r="J36" i="72"/>
  <c r="I36" i="72"/>
  <c r="H36" i="72"/>
  <c r="G36" i="72"/>
  <c r="F36" i="72"/>
  <c r="E36" i="72"/>
  <c r="D36" i="72"/>
  <c r="C36" i="72"/>
  <c r="T35" i="72"/>
  <c r="S35" i="72"/>
  <c r="R35" i="72"/>
  <c r="Q35" i="72"/>
  <c r="P35" i="72"/>
  <c r="O35" i="72"/>
  <c r="N35" i="72"/>
  <c r="M35" i="72"/>
  <c r="L35" i="72"/>
  <c r="K35" i="72"/>
  <c r="J35" i="72"/>
  <c r="I35" i="72"/>
  <c r="H35" i="72"/>
  <c r="G35" i="72"/>
  <c r="F35" i="72"/>
  <c r="E35" i="72"/>
  <c r="D35" i="72"/>
  <c r="C35" i="72"/>
  <c r="T34" i="72"/>
  <c r="S34" i="72"/>
  <c r="R34" i="72"/>
  <c r="Q34" i="72"/>
  <c r="P34" i="72"/>
  <c r="O34" i="72"/>
  <c r="N34" i="72"/>
  <c r="M34" i="72"/>
  <c r="L34" i="72"/>
  <c r="K34" i="72"/>
  <c r="J34" i="72"/>
  <c r="I34" i="72"/>
  <c r="H34" i="72"/>
  <c r="G34" i="72"/>
  <c r="F34" i="72"/>
  <c r="E34" i="72"/>
  <c r="D34" i="72"/>
  <c r="C34" i="72"/>
  <c r="T33" i="72"/>
  <c r="S33" i="72"/>
  <c r="R33" i="72"/>
  <c r="Q33" i="72"/>
  <c r="P33" i="72"/>
  <c r="O33" i="72"/>
  <c r="N33" i="72"/>
  <c r="M33" i="72"/>
  <c r="L33" i="72"/>
  <c r="K33" i="72"/>
  <c r="J33" i="72"/>
  <c r="I33" i="72"/>
  <c r="H33" i="72"/>
  <c r="G33" i="72"/>
  <c r="F33" i="72"/>
  <c r="E33" i="72"/>
  <c r="D33" i="72"/>
  <c r="C33" i="72"/>
  <c r="T32" i="72"/>
  <c r="S32" i="72"/>
  <c r="R32" i="72"/>
  <c r="Q32" i="72"/>
  <c r="P32" i="72"/>
  <c r="O32" i="72"/>
  <c r="N32" i="72"/>
  <c r="M32" i="72"/>
  <c r="L32" i="72"/>
  <c r="K32" i="72"/>
  <c r="J32" i="72"/>
  <c r="I32" i="72"/>
  <c r="H32" i="72"/>
  <c r="G32" i="72"/>
  <c r="F32" i="72"/>
  <c r="E32" i="72"/>
  <c r="D32" i="72"/>
  <c r="C32" i="72"/>
  <c r="T31" i="72"/>
  <c r="S31" i="72"/>
  <c r="R31" i="72"/>
  <c r="Q31" i="72"/>
  <c r="P31" i="72"/>
  <c r="O31" i="72"/>
  <c r="N31" i="72"/>
  <c r="M31" i="72"/>
  <c r="L31" i="72"/>
  <c r="K31" i="72"/>
  <c r="J31" i="72"/>
  <c r="I31" i="72"/>
  <c r="H31" i="72"/>
  <c r="G31" i="72"/>
  <c r="F31" i="72"/>
  <c r="E31" i="72"/>
  <c r="D31" i="72"/>
  <c r="C31" i="72"/>
  <c r="T30" i="72"/>
  <c r="S30" i="72"/>
  <c r="R30" i="72"/>
  <c r="Q30" i="72"/>
  <c r="P30" i="72"/>
  <c r="O30" i="72"/>
  <c r="N30" i="72"/>
  <c r="M30" i="72"/>
  <c r="L30" i="72"/>
  <c r="K30" i="72"/>
  <c r="J30" i="72"/>
  <c r="I30" i="72"/>
  <c r="H30" i="72"/>
  <c r="G30" i="72"/>
  <c r="F30" i="72"/>
  <c r="E30" i="72"/>
  <c r="D30" i="72"/>
  <c r="C30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9" i="72"/>
  <c r="C29" i="72"/>
  <c r="T28" i="72"/>
  <c r="S28" i="72"/>
  <c r="R28" i="72"/>
  <c r="Q28" i="72"/>
  <c r="P28" i="72"/>
  <c r="O28" i="72"/>
  <c r="N28" i="72"/>
  <c r="M28" i="72"/>
  <c r="L28" i="72"/>
  <c r="K28" i="72"/>
  <c r="J28" i="72"/>
  <c r="I28" i="72"/>
  <c r="H28" i="72"/>
  <c r="G28" i="72"/>
  <c r="F28" i="72"/>
  <c r="E28" i="72"/>
  <c r="D28" i="72"/>
  <c r="C28" i="72"/>
  <c r="T27" i="72"/>
  <c r="S27" i="72"/>
  <c r="R27" i="72"/>
  <c r="Q27" i="72"/>
  <c r="P27" i="72"/>
  <c r="O27" i="72"/>
  <c r="N27" i="72"/>
  <c r="M27" i="72"/>
  <c r="L27" i="72"/>
  <c r="K27" i="72"/>
  <c r="J27" i="72"/>
  <c r="I27" i="72"/>
  <c r="H27" i="72"/>
  <c r="G27" i="72"/>
  <c r="F27" i="72"/>
  <c r="E27" i="72"/>
  <c r="D27" i="72"/>
  <c r="C27" i="72"/>
  <c r="T26" i="72"/>
  <c r="S26" i="72"/>
  <c r="R26" i="72"/>
  <c r="Q26" i="72"/>
  <c r="P26" i="72"/>
  <c r="O26" i="72"/>
  <c r="N26" i="72"/>
  <c r="M26" i="72"/>
  <c r="L26" i="72"/>
  <c r="K26" i="72"/>
  <c r="J26" i="72"/>
  <c r="I26" i="72"/>
  <c r="H26" i="72"/>
  <c r="G26" i="72"/>
  <c r="F26" i="72"/>
  <c r="E26" i="72"/>
  <c r="D26" i="72"/>
  <c r="C26" i="72"/>
  <c r="T25" i="72"/>
  <c r="S25" i="72"/>
  <c r="R25" i="72"/>
  <c r="Q25" i="72"/>
  <c r="P25" i="72"/>
  <c r="O25" i="72"/>
  <c r="N25" i="72"/>
  <c r="M25" i="72"/>
  <c r="L25" i="72"/>
  <c r="K25" i="72"/>
  <c r="J25" i="72"/>
  <c r="I25" i="72"/>
  <c r="H25" i="72"/>
  <c r="G25" i="72"/>
  <c r="F25" i="72"/>
  <c r="E25" i="72"/>
  <c r="D25" i="72"/>
  <c r="C25" i="72"/>
  <c r="T24" i="72"/>
  <c r="S24" i="72"/>
  <c r="R24" i="72"/>
  <c r="Q24" i="72"/>
  <c r="P24" i="72"/>
  <c r="O24" i="72"/>
  <c r="N24" i="72"/>
  <c r="M24" i="72"/>
  <c r="L24" i="72"/>
  <c r="K24" i="72"/>
  <c r="J24" i="72"/>
  <c r="I24" i="72"/>
  <c r="H24" i="72"/>
  <c r="G24" i="72"/>
  <c r="F24" i="72"/>
  <c r="E24" i="72"/>
  <c r="D24" i="72"/>
  <c r="C24" i="72"/>
  <c r="T23" i="72"/>
  <c r="S23" i="72"/>
  <c r="R23" i="72"/>
  <c r="Q23" i="72"/>
  <c r="P23" i="72"/>
  <c r="O23" i="72"/>
  <c r="N23" i="72"/>
  <c r="M23" i="72"/>
  <c r="L23" i="72"/>
  <c r="K23" i="72"/>
  <c r="J23" i="72"/>
  <c r="I23" i="72"/>
  <c r="H23" i="72"/>
  <c r="G23" i="72"/>
  <c r="F23" i="72"/>
  <c r="E23" i="72"/>
  <c r="D23" i="72"/>
  <c r="C23" i="72"/>
  <c r="T22" i="72"/>
  <c r="S22" i="72"/>
  <c r="R22" i="72"/>
  <c r="Q22" i="72"/>
  <c r="P22" i="72"/>
  <c r="O22" i="72"/>
  <c r="N22" i="72"/>
  <c r="M22" i="72"/>
  <c r="L22" i="72"/>
  <c r="K22" i="72"/>
  <c r="J22" i="72"/>
  <c r="I22" i="72"/>
  <c r="H22" i="72"/>
  <c r="G22" i="72"/>
  <c r="F22" i="72"/>
  <c r="E22" i="72"/>
  <c r="D22" i="72"/>
  <c r="C22" i="72"/>
  <c r="T21" i="72"/>
  <c r="S21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C21" i="72"/>
  <c r="T20" i="72"/>
  <c r="S20" i="72"/>
  <c r="R20" i="72"/>
  <c r="Q20" i="72"/>
  <c r="P20" i="72"/>
  <c r="O20" i="72"/>
  <c r="N20" i="72"/>
  <c r="M20" i="72"/>
  <c r="L20" i="72"/>
  <c r="K20" i="72"/>
  <c r="J20" i="72"/>
  <c r="I20" i="72"/>
  <c r="H20" i="72"/>
  <c r="G20" i="72"/>
  <c r="F20" i="72"/>
  <c r="E20" i="72"/>
  <c r="D20" i="72"/>
  <c r="C20" i="72"/>
  <c r="T19" i="72"/>
  <c r="S19" i="72"/>
  <c r="R19" i="72"/>
  <c r="Q19" i="72"/>
  <c r="P19" i="72"/>
  <c r="O19" i="72"/>
  <c r="N19" i="72"/>
  <c r="M19" i="72"/>
  <c r="L19" i="72"/>
  <c r="K19" i="72"/>
  <c r="J19" i="72"/>
  <c r="I19" i="72"/>
  <c r="H19" i="72"/>
  <c r="G19" i="72"/>
  <c r="F19" i="72"/>
  <c r="E19" i="72"/>
  <c r="D19" i="72"/>
  <c r="C19" i="72"/>
  <c r="T18" i="72"/>
  <c r="S18" i="72"/>
  <c r="R18" i="72"/>
  <c r="Q18" i="72"/>
  <c r="P18" i="72"/>
  <c r="O18" i="72"/>
  <c r="N18" i="72"/>
  <c r="M18" i="72"/>
  <c r="L18" i="72"/>
  <c r="K18" i="72"/>
  <c r="J18" i="72"/>
  <c r="I18" i="72"/>
  <c r="H18" i="72"/>
  <c r="G18" i="72"/>
  <c r="F18" i="72"/>
  <c r="E18" i="72"/>
  <c r="D18" i="72"/>
  <c r="C18" i="72"/>
  <c r="T17" i="72"/>
  <c r="S17" i="72"/>
  <c r="R17" i="72"/>
  <c r="Q17" i="72"/>
  <c r="P17" i="72"/>
  <c r="O17" i="72"/>
  <c r="N17" i="72"/>
  <c r="M17" i="72"/>
  <c r="L17" i="72"/>
  <c r="K17" i="72"/>
  <c r="J17" i="72"/>
  <c r="I17" i="72"/>
  <c r="H17" i="72"/>
  <c r="G17" i="72"/>
  <c r="F17" i="72"/>
  <c r="E17" i="72"/>
  <c r="D17" i="72"/>
  <c r="C17" i="72"/>
  <c r="T16" i="72"/>
  <c r="S16" i="72"/>
  <c r="R16" i="72"/>
  <c r="Q16" i="72"/>
  <c r="P16" i="72"/>
  <c r="O16" i="72"/>
  <c r="N16" i="72"/>
  <c r="M16" i="72"/>
  <c r="L16" i="72"/>
  <c r="K16" i="72"/>
  <c r="J16" i="72"/>
  <c r="I16" i="72"/>
  <c r="H16" i="72"/>
  <c r="G16" i="72"/>
  <c r="F16" i="72"/>
  <c r="E16" i="72"/>
  <c r="D16" i="72"/>
  <c r="C16" i="72"/>
  <c r="T15" i="72"/>
  <c r="S15" i="72"/>
  <c r="R15" i="72"/>
  <c r="Q15" i="72"/>
  <c r="P15" i="72"/>
  <c r="O15" i="72"/>
  <c r="N15" i="72"/>
  <c r="M15" i="72"/>
  <c r="L15" i="72"/>
  <c r="K15" i="72"/>
  <c r="J15" i="72"/>
  <c r="I15" i="72"/>
  <c r="H15" i="72"/>
  <c r="G15" i="72"/>
  <c r="F15" i="72"/>
  <c r="E15" i="72"/>
  <c r="D15" i="72"/>
  <c r="C15" i="72"/>
  <c r="T14" i="72"/>
  <c r="S14" i="72"/>
  <c r="R14" i="72"/>
  <c r="Q14" i="72"/>
  <c r="P14" i="72"/>
  <c r="O14" i="72"/>
  <c r="N14" i="72"/>
  <c r="M14" i="72"/>
  <c r="L14" i="72"/>
  <c r="K14" i="72"/>
  <c r="J14" i="72"/>
  <c r="I14" i="72"/>
  <c r="H14" i="72"/>
  <c r="G14" i="72"/>
  <c r="F14" i="72"/>
  <c r="E14" i="72"/>
  <c r="D14" i="72"/>
  <c r="C14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C13" i="72"/>
  <c r="T12" i="72"/>
  <c r="S12" i="72"/>
  <c r="R12" i="72"/>
  <c r="Q12" i="72"/>
  <c r="P12" i="72"/>
  <c r="O12" i="72"/>
  <c r="N12" i="72"/>
  <c r="M12" i="72"/>
  <c r="L12" i="72"/>
  <c r="K12" i="72"/>
  <c r="J12" i="72"/>
  <c r="I12" i="72"/>
  <c r="H12" i="72"/>
  <c r="G12" i="72"/>
  <c r="F12" i="72"/>
  <c r="E12" i="72"/>
  <c r="D12" i="72"/>
  <c r="C12" i="72"/>
  <c r="T11" i="72"/>
  <c r="S11" i="72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T10" i="72"/>
  <c r="S10" i="72"/>
  <c r="R10" i="72"/>
  <c r="Q10" i="72"/>
  <c r="P10" i="72"/>
  <c r="O10" i="72"/>
  <c r="N10" i="72"/>
  <c r="M10" i="72"/>
  <c r="L10" i="72"/>
  <c r="K10" i="72"/>
  <c r="J10" i="72"/>
  <c r="I10" i="72"/>
  <c r="H10" i="72"/>
  <c r="G10" i="72"/>
  <c r="F10" i="72"/>
  <c r="E10" i="72"/>
  <c r="D10" i="72"/>
  <c r="C10" i="72"/>
  <c r="T9" i="72"/>
  <c r="S9" i="72"/>
  <c r="R9" i="72"/>
  <c r="Q9" i="72"/>
  <c r="P9" i="72"/>
  <c r="O9" i="72"/>
  <c r="N9" i="72"/>
  <c r="M9" i="72"/>
  <c r="L9" i="72"/>
  <c r="K9" i="72"/>
  <c r="J9" i="72"/>
  <c r="I9" i="72"/>
  <c r="H9" i="72"/>
  <c r="G9" i="72"/>
  <c r="F9" i="72"/>
  <c r="E9" i="72"/>
  <c r="D9" i="72"/>
  <c r="C9" i="72"/>
  <c r="T8" i="72"/>
  <c r="S8" i="72"/>
  <c r="R8" i="72"/>
  <c r="Q8" i="72"/>
  <c r="P8" i="72"/>
  <c r="O8" i="72"/>
  <c r="N8" i="72"/>
  <c r="M8" i="72"/>
  <c r="L8" i="72"/>
  <c r="K8" i="72"/>
  <c r="J8" i="72"/>
  <c r="I8" i="72"/>
  <c r="H8" i="72"/>
  <c r="G8" i="72"/>
  <c r="F8" i="72"/>
  <c r="E8" i="72"/>
  <c r="D8" i="72"/>
  <c r="C8" i="72"/>
  <c r="T7" i="72"/>
  <c r="S7" i="72"/>
  <c r="R7" i="72"/>
  <c r="Q7" i="72"/>
  <c r="P7" i="72"/>
  <c r="O7" i="72"/>
  <c r="N7" i="72"/>
  <c r="M7" i="72"/>
  <c r="L7" i="72"/>
  <c r="K7" i="72"/>
  <c r="J7" i="72"/>
  <c r="I7" i="72"/>
  <c r="H7" i="72"/>
  <c r="G7" i="72"/>
  <c r="F7" i="72"/>
  <c r="E7" i="72"/>
  <c r="D7" i="72"/>
  <c r="C7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E6" i="72"/>
  <c r="D6" i="72"/>
  <c r="C6" i="72"/>
  <c r="T5" i="72"/>
  <c r="S5" i="72"/>
  <c r="R5" i="72"/>
  <c r="Q5" i="72"/>
  <c r="P5" i="72"/>
  <c r="O5" i="72"/>
  <c r="N5" i="72"/>
  <c r="M5" i="72"/>
  <c r="L5" i="72"/>
  <c r="K5" i="72"/>
  <c r="J5" i="72"/>
  <c r="I5" i="72"/>
  <c r="H5" i="72"/>
  <c r="G5" i="72"/>
  <c r="F5" i="72"/>
  <c r="E5" i="72"/>
  <c r="D5" i="72"/>
  <c r="C5" i="72"/>
  <c r="T4" i="72"/>
  <c r="S4" i="72"/>
  <c r="R4" i="72"/>
  <c r="Q4" i="72"/>
  <c r="P4" i="72"/>
  <c r="O4" i="72"/>
  <c r="N4" i="72"/>
  <c r="M4" i="72"/>
  <c r="L4" i="72"/>
  <c r="K4" i="72"/>
  <c r="J4" i="72"/>
  <c r="I4" i="72"/>
  <c r="H4" i="72"/>
  <c r="G4" i="72"/>
  <c r="F4" i="72"/>
  <c r="E4" i="72"/>
  <c r="D4" i="72"/>
  <c r="C4" i="72"/>
  <c r="G3" i="72"/>
  <c r="G2" i="72"/>
  <c r="H66" i="72" l="1"/>
  <c r="L66" i="72"/>
  <c r="P66" i="72"/>
  <c r="T66" i="72"/>
  <c r="I66" i="72"/>
  <c r="Q66" i="72"/>
  <c r="J70" i="72"/>
  <c r="N70" i="72"/>
  <c r="R70" i="72"/>
  <c r="K70" i="72"/>
  <c r="S70" i="72"/>
  <c r="H70" i="72"/>
  <c r="L70" i="72"/>
  <c r="P70" i="72"/>
  <c r="T70" i="72"/>
  <c r="G70" i="72"/>
  <c r="O70" i="72"/>
  <c r="F3" i="72"/>
  <c r="I69" i="72"/>
  <c r="M70" i="72"/>
  <c r="Q70" i="72"/>
  <c r="I65" i="72"/>
  <c r="Q69" i="72"/>
  <c r="H3" i="72"/>
  <c r="H65" i="72"/>
  <c r="L65" i="72"/>
  <c r="P65" i="72"/>
  <c r="T65" i="72"/>
  <c r="H69" i="72"/>
  <c r="L69" i="72"/>
  <c r="P69" i="72"/>
  <c r="T69" i="72"/>
  <c r="Q65" i="72"/>
  <c r="M66" i="72"/>
  <c r="M69" i="72"/>
  <c r="I70" i="72"/>
  <c r="J65" i="72"/>
  <c r="N65" i="72"/>
  <c r="R65" i="72"/>
  <c r="J69" i="72"/>
  <c r="N69" i="72"/>
  <c r="R69" i="72"/>
  <c r="G65" i="72"/>
  <c r="K65" i="72"/>
  <c r="O65" i="72"/>
  <c r="S65" i="72"/>
  <c r="G69" i="72"/>
  <c r="K69" i="72"/>
  <c r="O69" i="72"/>
  <c r="S69" i="72"/>
  <c r="G29" i="70"/>
  <c r="H29" i="70"/>
  <c r="I29" i="70"/>
  <c r="J29" i="70"/>
  <c r="K29" i="70"/>
  <c r="L29" i="70"/>
  <c r="M29" i="70"/>
  <c r="F29" i="70"/>
  <c r="F25" i="70"/>
  <c r="N58" i="70"/>
  <c r="E3" i="72" l="1"/>
  <c r="I3" i="72"/>
  <c r="D3" i="72" l="1"/>
  <c r="J3" i="72"/>
  <c r="C3" i="72" l="1"/>
  <c r="K3" i="72"/>
  <c r="F30" i="70"/>
  <c r="L3" i="72" l="1"/>
  <c r="M3" i="72" l="1"/>
  <c r="N3" i="72" l="1"/>
  <c r="N57" i="70"/>
  <c r="N56" i="70"/>
  <c r="N55" i="70"/>
  <c r="N54" i="70"/>
  <c r="N53" i="70"/>
  <c r="N52" i="70"/>
  <c r="N51" i="70"/>
  <c r="N50" i="70"/>
  <c r="N49" i="70"/>
  <c r="F49" i="70"/>
  <c r="N48" i="70"/>
  <c r="N47" i="70"/>
  <c r="F47" i="70"/>
  <c r="N46" i="70"/>
  <c r="F46" i="70"/>
  <c r="N45" i="70"/>
  <c r="N44" i="70"/>
  <c r="N43" i="70"/>
  <c r="N42" i="70"/>
  <c r="F42" i="70"/>
  <c r="N41" i="70"/>
  <c r="N40" i="70"/>
  <c r="N39" i="70"/>
  <c r="F39" i="70"/>
  <c r="N38" i="70"/>
  <c r="N37" i="70"/>
  <c r="N36" i="70"/>
  <c r="F36" i="70"/>
  <c r="N35" i="70"/>
  <c r="F35" i="70"/>
  <c r="N34" i="70"/>
  <c r="F34" i="70"/>
  <c r="N33" i="70"/>
  <c r="F33" i="70"/>
  <c r="N32" i="70"/>
  <c r="F32" i="70"/>
  <c r="N31" i="70"/>
  <c r="N30" i="70"/>
  <c r="N28" i="70"/>
  <c r="N27" i="70"/>
  <c r="F27" i="70"/>
  <c r="G26" i="70"/>
  <c r="N26" i="70" s="1"/>
  <c r="F26" i="70"/>
  <c r="M25" i="70"/>
  <c r="M24" i="70" s="1"/>
  <c r="L25" i="70"/>
  <c r="L24" i="70" s="1"/>
  <c r="K25" i="70"/>
  <c r="K24" i="70" s="1"/>
  <c r="J25" i="70"/>
  <c r="I25" i="70"/>
  <c r="I24" i="70" s="1"/>
  <c r="H25" i="70"/>
  <c r="G25" i="70"/>
  <c r="J24" i="70"/>
  <c r="G24" i="70"/>
  <c r="N21" i="70"/>
  <c r="M21" i="70"/>
  <c r="L21" i="70"/>
  <c r="K21" i="70"/>
  <c r="J21" i="70"/>
  <c r="I21" i="70"/>
  <c r="H21" i="70"/>
  <c r="G21" i="70"/>
  <c r="F21" i="70"/>
  <c r="G20" i="70"/>
  <c r="G19" i="70" s="1"/>
  <c r="G9" i="70" s="1"/>
  <c r="F20" i="70"/>
  <c r="F19" i="70" s="1"/>
  <c r="M19" i="70"/>
  <c r="L19" i="70"/>
  <c r="K19" i="70"/>
  <c r="K9" i="70" s="1"/>
  <c r="J19" i="70"/>
  <c r="J9" i="70" s="1"/>
  <c r="I19" i="70"/>
  <c r="H19" i="70"/>
  <c r="N18" i="70"/>
  <c r="F18" i="70"/>
  <c r="F11" i="70" s="1"/>
  <c r="N17" i="70"/>
  <c r="N16" i="70"/>
  <c r="N15" i="70"/>
  <c r="N14" i="70"/>
  <c r="G13" i="70"/>
  <c r="G12" i="70"/>
  <c r="N12" i="70" s="1"/>
  <c r="M11" i="70"/>
  <c r="L11" i="70"/>
  <c r="K11" i="70"/>
  <c r="K10" i="70" s="1"/>
  <c r="J11" i="70"/>
  <c r="I11" i="70"/>
  <c r="H11" i="70"/>
  <c r="M10" i="70"/>
  <c r="O3" i="72" l="1"/>
  <c r="N29" i="70"/>
  <c r="I10" i="70"/>
  <c r="H10" i="70"/>
  <c r="L10" i="70"/>
  <c r="L7" i="70" s="1"/>
  <c r="F8" i="70"/>
  <c r="K8" i="70"/>
  <c r="I7" i="70"/>
  <c r="F10" i="70"/>
  <c r="H8" i="70"/>
  <c r="M7" i="70"/>
  <c r="F9" i="70"/>
  <c r="J10" i="70"/>
  <c r="J7" i="70" s="1"/>
  <c r="J8" i="70"/>
  <c r="I8" i="70"/>
  <c r="M8" i="70"/>
  <c r="N20" i="70"/>
  <c r="N19" i="70" s="1"/>
  <c r="N25" i="70"/>
  <c r="H24" i="70"/>
  <c r="L8" i="70"/>
  <c r="K7" i="70"/>
  <c r="G11" i="70"/>
  <c r="G8" i="70" s="1"/>
  <c r="M9" i="70"/>
  <c r="L9" i="70"/>
  <c r="H9" i="70"/>
  <c r="I9" i="70"/>
  <c r="N13" i="70"/>
  <c r="N11" i="70" s="1"/>
  <c r="P3" i="72" l="1"/>
  <c r="H7" i="70"/>
  <c r="F24" i="70"/>
  <c r="F7" i="70"/>
  <c r="N9" i="70"/>
  <c r="G10" i="70"/>
  <c r="G7" i="70" s="1"/>
  <c r="N24" i="70"/>
  <c r="N8" i="70"/>
  <c r="N10" i="70"/>
  <c r="Q3" i="72" l="1"/>
  <c r="N7" i="70"/>
  <c r="R3" i="72" l="1"/>
  <c r="S3" i="72" l="1"/>
  <c r="T3" i="72" l="1"/>
</calcChain>
</file>

<file path=xl/sharedStrings.xml><?xml version="1.0" encoding="utf-8"?>
<sst xmlns="http://schemas.openxmlformats.org/spreadsheetml/2006/main" count="524" uniqueCount="317">
  <si>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</si>
  <si>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</si>
  <si>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</si>
  <si>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</si>
  <si>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</si>
  <si>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</si>
  <si>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</si>
  <si>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</si>
  <si>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</si>
  <si>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</si>
  <si>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</si>
  <si>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</si>
  <si>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</si>
  <si>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</si>
  <si>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</si>
  <si>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</si>
  <si>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</si>
  <si>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</si>
  <si>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</si>
  <si>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</si>
  <si>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</si>
  <si>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</si>
  <si>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</si>
  <si>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</si>
  <si>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</si>
  <si>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</si>
  <si>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</si>
  <si>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</si>
  <si>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</si>
  <si>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</si>
  <si>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</si>
  <si>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</si>
  <si>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1.3.2.</t>
  </si>
  <si>
    <t>1.3.2.1</t>
  </si>
  <si>
    <t>Zarząd Dróg Powiatowych</t>
  </si>
  <si>
    <t>1.3.2.2</t>
  </si>
  <si>
    <t>1.3.2.3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</si>
  <si>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</si>
  <si>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</si>
  <si>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</si>
  <si>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</si>
  <si>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</si>
  <si>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</si>
  <si>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</si>
  <si>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</si>
  <si>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</si>
  <si>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</si>
  <si>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</si>
  <si>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</si>
  <si>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</si>
  <si>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</si>
  <si>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</si>
  <si>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</si>
  <si>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</si>
  <si>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</si>
  <si>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</si>
  <si>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</si>
  <si>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</si>
  <si>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</si>
  <si>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</si>
  <si>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</si>
  <si>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</si>
  <si>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</si>
  <si>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</si>
  <si>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</si>
  <si>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</si>
  <si>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Przebudowa drogi powiatowej Nr 2245 W m. Dobrzyniec, gmina Kołbiel</t>
  </si>
  <si>
    <t>1.1.1.2</t>
  </si>
  <si>
    <t>1.1.1.3</t>
  </si>
  <si>
    <t>1.1.1.6</t>
  </si>
  <si>
    <t>1.1.1.7</t>
  </si>
  <si>
    <t>Podniesienie jakości kształcenia zawodowego w Zespole Szkół Ekonomiczno-Gastronomicznych w Otwocku</t>
  </si>
  <si>
    <t>Zespół Szkół Nr 2</t>
  </si>
  <si>
    <t>1.3.1.3</t>
  </si>
  <si>
    <t>Mobilni w Europie</t>
  </si>
  <si>
    <t xml:space="preserve">Zarząd Dróg Powiatowych </t>
  </si>
  <si>
    <t>Przebudowa mostu w drodze powiatowej Nr 2722W w Pogorzeli</t>
  </si>
  <si>
    <t>Rozbudowa drogi powiatowej Nr 2765W ul. Staszica i ul. Kołłątaja w Otwocku na odcinku od ul. Karczewskiej do mostu na rzece Świder</t>
  </si>
  <si>
    <t xml:space="preserve">Budowa chodnika przy drodze powiatowej Nr 2743W w miejsc. Człekówka od drogi krajowej nr 50 do istniejącego chodnika </t>
  </si>
  <si>
    <t xml:space="preserve">Modernizacja drogi powiatowej Nr 2736W w miejsc. Teresin 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</si>
  <si>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</si>
  <si>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</si>
  <si>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</si>
  <si>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</si>
  <si>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</si>
  <si>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</si>
  <si>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</si>
  <si>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</si>
  <si>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Utrzymanie ciągłości projektu pn. " Poprawa funkcjonowania osób niesamodzielnych z terenu powiatu otwockiego poprzez uruchomienie usług socjalnych świadczonych w formie wsparcia dziennego"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</si>
  <si>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</si>
  <si>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</si>
  <si>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 xml:space="preserve">Budowa Domu Pomocy Społecznej "Wrzos" </t>
  </si>
  <si>
    <t>Rodzinne drogowskazy</t>
  </si>
  <si>
    <t>Budowa chodników w drogach powiatowych na terenie gminy Wiązowna - Majdan   ul. Widoczna</t>
  </si>
  <si>
    <t>Starostwo                                     Powiatowe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</si>
  <si>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</si>
  <si>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</si>
  <si>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</si>
  <si>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</si>
  <si>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</si>
  <si>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</si>
  <si>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</si>
  <si>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</si>
  <si>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</si>
  <si>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</si>
  <si>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</si>
  <si>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</si>
  <si>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</si>
  <si>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</si>
  <si>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</si>
  <si>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</si>
  <si>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</si>
  <si>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</si>
  <si>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</si>
  <si>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</si>
  <si>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</si>
  <si>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</si>
  <si>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</si>
  <si>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</si>
  <si>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</si>
  <si>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</si>
  <si>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</si>
  <si>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</si>
  <si>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</si>
  <si>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</si>
  <si>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</si>
  <si>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</si>
  <si>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</si>
  <si>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</si>
  <si>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</si>
  <si>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</si>
  <si>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</si>
  <si>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</si>
  <si>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</si>
  <si>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</si>
  <si>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</si>
  <si>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 xml:space="preserve">pozostałe odsetki i dyskonto podlegające wyłączeniu z limitu spłaty zobowiązań, o którym mowa w art. 243 ustawy 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</si>
  <si>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</si>
  <si>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</si>
  <si>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</si>
  <si>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</si>
  <si>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</si>
  <si>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</si>
  <si>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</si>
  <si>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</si>
  <si>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</si>
  <si>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</si>
  <si>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</si>
  <si>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</si>
  <si>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</si>
  <si>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</si>
  <si>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</si>
  <si>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</si>
  <si>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</si>
  <si>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</si>
  <si>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</si>
  <si>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</si>
  <si>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</si>
  <si>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</si>
  <si>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</si>
  <si>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</si>
  <si>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</si>
  <si>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</si>
  <si>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</si>
  <si>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</si>
  <si>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</si>
  <si>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</si>
  <si>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</si>
  <si>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</si>
  <si>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</si>
  <si>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</si>
  <si>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</si>
  <si>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</si>
  <si>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</si>
  <si>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</si>
  <si>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</si>
  <si>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</si>
  <si>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</si>
  <si>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</si>
  <si>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</si>
  <si>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</si>
  <si>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</si>
  <si>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</si>
  <si>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</si>
  <si>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</si>
  <si>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</si>
  <si>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</si>
  <si>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</si>
  <si>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</si>
  <si>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</si>
  <si>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</si>
  <si>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</si>
  <si>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</si>
  <si>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Różnica między dochodami bieżącymi, skorygowanymi o środki a wydatkami bieżącymi</t>
  </si>
  <si>
    <t>Wskaźnik spłaty zobowiązań</t>
  </si>
  <si>
    <t>8.1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</si>
  <si>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</si>
  <si>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</si>
  <si>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</si>
  <si>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</t>
  </si>
  <si>
    <t>Relacja określona po prawej stronie nierówności we wzorze, o którym mowa w art. 243 ust. 1 ustawy, ustalona dla danego roku (wskaźnik jednoroczny)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</si>
  <si>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</si>
  <si>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</si>
  <si>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</si>
  <si>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</si>
  <si>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</si>
  <si>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</si>
  <si>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</si>
  <si>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</si>
  <si>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8.4.1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</si>
  <si>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</si>
  <si>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art15zoc_ZD</t>
  </si>
  <si>
    <t xml:space="preserve">Relacja kwoty długu do dochodów ogółem </t>
  </si>
  <si>
    <t>art15zoc_8.1_ROD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</si>
  <si>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</si>
  <si>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>art15zoc_8.4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</si>
  <si>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</si>
  <si>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t>art15zoc_8.4.1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</si>
  <si>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</si>
  <si>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</si>
  <si>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</si>
  <si>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</si>
  <si>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</si>
  <si>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</si>
  <si>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</si>
  <si>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</si>
  <si>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</si>
  <si>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</si>
  <si>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</si>
  <si>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</si>
  <si>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</si>
  <si>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</si>
  <si>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</si>
  <si>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</si>
  <si>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</si>
  <si>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</si>
  <si>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</si>
  <si>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</si>
  <si>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</si>
  <si>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</si>
  <si>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</si>
  <si>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</si>
  <si>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</si>
  <si>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</si>
  <si>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</si>
  <si>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</si>
  <si>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</si>
  <si>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</si>
  <si>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</si>
  <si>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</si>
  <si>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</si>
  <si>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</si>
  <si>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</si>
  <si>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</si>
  <si>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</si>
  <si>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</si>
  <si>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</si>
  <si>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</si>
  <si>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</si>
  <si>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</si>
  <si>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</si>
  <si>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</si>
  <si>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</si>
  <si>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</si>
  <si>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</si>
  <si>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</si>
  <si>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</si>
  <si>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</si>
  <si>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</si>
  <si>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</si>
  <si>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</si>
  <si>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</si>
  <si>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</si>
  <si>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</si>
  <si>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</si>
  <si>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</si>
  <si>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</si>
  <si>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</si>
  <si>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</si>
  <si>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</si>
  <si>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</si>
  <si>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</si>
  <si>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</si>
  <si>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</si>
  <si>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</si>
  <si>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</si>
  <si>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</si>
  <si>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</si>
  <si>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</si>
  <si>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</si>
  <si>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</si>
  <si>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</si>
  <si>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</si>
  <si>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Rozbudowa skrzyżowania dróg powiatowych Nr 2765W                 ul. Karczewskiej i Nr 2760W  ul.  Batorego i ul. Matejki w Otwocku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</si>
  <si>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</si>
  <si>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</si>
  <si>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</si>
  <si>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Rozbudowa drogi powiatowej Nr 2713W w miejscowościach Stara Wieś, Dąbrówka i Celestynów</t>
  </si>
  <si>
    <t xml:space="preserve"> </t>
  </si>
  <si>
    <t>1.1.1.1</t>
  </si>
  <si>
    <t>Poprawa bezpieczeństwa ruchu drogowego na przejściu dla pieszych w Józefowie na ul. Granicznej na drodze nr 2768W</t>
  </si>
  <si>
    <t>Poprawa bezpieczeństwa ruchu drogowego na  przejściu dla pieszych w Pogorzeli na ul. Warszawskiej na drodze Nr 2715W</t>
  </si>
  <si>
    <t>Poprawa bezpieczeństwa ruchu drogowego na  przejściu dla pieszych w Sobiekursku na drodze Nr 2726W</t>
  </si>
  <si>
    <t>Poprawa bezpieczeństwa ruchu drogowego na  przejściu dla pieszych w Kątach na ul. Królewskiej na drodze Nr 2745W</t>
  </si>
  <si>
    <t>Poprawa bezpieczeństwa ruchu drogowego na  przejściu dla pieszych w Otwocku na ul. Narutowicza na drodze Nr 2759W</t>
  </si>
  <si>
    <t>Wykaz przedsięwzięć wieloletnich 2022</t>
  </si>
  <si>
    <t>Poprawa bezpieczeństwa ruchu drogowego w obszarze oddziaływania przejścia dla pieszych w Karczewie na ul. Mickiewicza na drodze nr 2771W</t>
  </si>
  <si>
    <t>Modernizacja infrastruktury drogowej dróg powiatowych Powiatu Otwockiego polegająca na modernizacji przepraw przez cieki (mosty w m. Glinianka, Kąty, Grabianka, Janów, Nadbrzeż, Brzezinka)</t>
  </si>
  <si>
    <t>Budowa budynku siedziby Starostwa Powiatowego w Otwocku oraz wybranych powiatowych jednostek organizacyjnych i wybranych służb powiatowych wraz z zagospodarowaniem terenu</t>
  </si>
  <si>
    <t>Dotacja dla Powiatowego Centrum Zdrowia Sp. z o.o. w Otwocku na przebudowę  i modernizację podziemia szpitala oraz modernizację przychodni specjalistycznej</t>
  </si>
  <si>
    <t>Modernizacja budynku Specjalnego Ośrodka Szkolno-Wychowawczego Nr 1 - wzmocnienie stropów, dostosowanie budynku do zaleceń  ppoż.</t>
  </si>
  <si>
    <t>Ośrodek Szkolno-Wychowawczy Nr 1</t>
  </si>
  <si>
    <t>Poprawa bezpieczeństwa ruchu poprzez budowę ciągów pieszych i rowerowych na ul. Warszawskiej, ul. Jana Pawła II   i ul. Poniatowskiego</t>
  </si>
  <si>
    <t>Podniesienie jakości kształcenia zawodowego w Zespole Szkół       nr 2 w Otwocku</t>
  </si>
  <si>
    <t>Limity wydatków w poszczególnych latach</t>
  </si>
  <si>
    <t>1.3.2.29</t>
  </si>
  <si>
    <t>Projekt i budowa ciągu pieszo – rowerowego w drodze powiatowej Nr  2739W   w miejsc. Gadka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</si>
</sst>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_-* #,##0\ _z_ł_-;\-* #,##0\ _z_ł_-;_-* &quot;-&quot;??\ _z_ł_-;_-@_-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2" tint="-0.499984740745262"/>
      <name val="Arial"/>
      <family val="2"/>
      <charset val="238"/>
    </font>
    <font>
      <sz val="10"/>
      <name val="Calibri"/>
      <family val="2"/>
      <scheme val="minor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68" fillId="0" borderId="0"/>
    <xf numFmtId="0" fontId="68" fillId="0" borderId="0"/>
    <xf numFmtId="0" fontId="69" fillId="0" borderId="0"/>
    <xf numFmtId="0" fontId="70" fillId="0" borderId="0"/>
    <xf numFmtId="0" fontId="69" fillId="0" borderId="0"/>
    <xf numFmtId="9" fontId="70" fillId="0" borderId="0" applyFont="0" applyFill="0" applyBorder="0" applyAlignment="0" applyProtection="0"/>
    <xf numFmtId="0" fontId="67" fillId="0" borderId="0"/>
    <xf numFmtId="0" fontId="66" fillId="0" borderId="0"/>
    <xf numFmtId="0" fontId="65" fillId="0" borderId="0"/>
    <xf numFmtId="0" fontId="64" fillId="0" borderId="0"/>
    <xf numFmtId="0" fontId="71" fillId="0" borderId="0" applyNumberFormat="0" applyFill="0" applyBorder="0" applyAlignment="0" applyProtection="0">
      <alignment vertical="top"/>
    </xf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7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70" fillId="35" borderId="0" applyNumberFormat="0" applyBorder="0" applyAlignment="0" applyProtection="0"/>
    <xf numFmtId="0" fontId="34" fillId="12" borderId="0" applyNumberFormat="0" applyBorder="0" applyAlignment="0" applyProtection="0"/>
    <xf numFmtId="0" fontId="70" fillId="36" borderId="0" applyNumberFormat="0" applyBorder="0" applyAlignment="0" applyProtection="0"/>
    <xf numFmtId="0" fontId="34" fillId="16" borderId="0" applyNumberFormat="0" applyBorder="0" applyAlignment="0" applyProtection="0"/>
    <xf numFmtId="0" fontId="70" fillId="37" borderId="0" applyNumberFormat="0" applyBorder="0" applyAlignment="0" applyProtection="0"/>
    <xf numFmtId="0" fontId="34" fillId="20" borderId="0" applyNumberFormat="0" applyBorder="0" applyAlignment="0" applyProtection="0"/>
    <xf numFmtId="0" fontId="70" fillId="38" borderId="0" applyNumberFormat="0" applyBorder="0" applyAlignment="0" applyProtection="0"/>
    <xf numFmtId="0" fontId="34" fillId="24" borderId="0" applyNumberFormat="0" applyBorder="0" applyAlignment="0" applyProtection="0"/>
    <xf numFmtId="0" fontId="70" fillId="39" borderId="0" applyNumberFormat="0" applyBorder="0" applyAlignment="0" applyProtection="0"/>
    <xf numFmtId="0" fontId="34" fillId="28" borderId="0" applyNumberFormat="0" applyBorder="0" applyAlignment="0" applyProtection="0"/>
    <xf numFmtId="0" fontId="70" fillId="40" borderId="0" applyNumberFormat="0" applyBorder="0" applyAlignment="0" applyProtection="0"/>
    <xf numFmtId="0" fontId="34" fillId="32" borderId="0" applyNumberFormat="0" applyBorder="0" applyAlignment="0" applyProtection="0"/>
    <xf numFmtId="0" fontId="70" fillId="41" borderId="0" applyNumberFormat="0" applyBorder="0" applyAlignment="0" applyProtection="0"/>
    <xf numFmtId="0" fontId="34" fillId="13" borderId="0" applyNumberFormat="0" applyBorder="0" applyAlignment="0" applyProtection="0"/>
    <xf numFmtId="0" fontId="70" fillId="42" borderId="0" applyNumberFormat="0" applyBorder="0" applyAlignment="0" applyProtection="0"/>
    <xf numFmtId="0" fontId="34" fillId="17" borderId="0" applyNumberFormat="0" applyBorder="0" applyAlignment="0" applyProtection="0"/>
    <xf numFmtId="0" fontId="70" fillId="43" borderId="0" applyNumberFormat="0" applyBorder="0" applyAlignment="0" applyProtection="0"/>
    <xf numFmtId="0" fontId="34" fillId="21" borderId="0" applyNumberFormat="0" applyBorder="0" applyAlignment="0" applyProtection="0"/>
    <xf numFmtId="0" fontId="70" fillId="38" borderId="0" applyNumberFormat="0" applyBorder="0" applyAlignment="0" applyProtection="0"/>
    <xf numFmtId="0" fontId="34" fillId="25" borderId="0" applyNumberFormat="0" applyBorder="0" applyAlignment="0" applyProtection="0"/>
    <xf numFmtId="0" fontId="70" fillId="41" borderId="0" applyNumberFormat="0" applyBorder="0" applyAlignment="0" applyProtection="0"/>
    <xf numFmtId="0" fontId="34" fillId="29" borderId="0" applyNumberFormat="0" applyBorder="0" applyAlignment="0" applyProtection="0"/>
    <xf numFmtId="0" fontId="70" fillId="44" borderId="0" applyNumberFormat="0" applyBorder="0" applyAlignment="0" applyProtection="0"/>
    <xf numFmtId="0" fontId="34" fillId="33" borderId="0" applyNumberFormat="0" applyBorder="0" applyAlignment="0" applyProtection="0"/>
    <xf numFmtId="0" fontId="95" fillId="45" borderId="0" applyNumberFormat="0" applyBorder="0" applyAlignment="0" applyProtection="0"/>
    <xf numFmtId="0" fontId="93" fillId="14" borderId="0" applyNumberFormat="0" applyBorder="0" applyAlignment="0" applyProtection="0"/>
    <xf numFmtId="0" fontId="95" fillId="42" borderId="0" applyNumberFormat="0" applyBorder="0" applyAlignment="0" applyProtection="0"/>
    <xf numFmtId="0" fontId="93" fillId="18" borderId="0" applyNumberFormat="0" applyBorder="0" applyAlignment="0" applyProtection="0"/>
    <xf numFmtId="0" fontId="95" fillId="43" borderId="0" applyNumberFormat="0" applyBorder="0" applyAlignment="0" applyProtection="0"/>
    <xf numFmtId="0" fontId="93" fillId="22" borderId="0" applyNumberFormat="0" applyBorder="0" applyAlignment="0" applyProtection="0"/>
    <xf numFmtId="0" fontId="95" fillId="46" borderId="0" applyNumberFormat="0" applyBorder="0" applyAlignment="0" applyProtection="0"/>
    <xf numFmtId="0" fontId="93" fillId="26" borderId="0" applyNumberFormat="0" applyBorder="0" applyAlignment="0" applyProtection="0"/>
    <xf numFmtId="0" fontId="95" fillId="47" borderId="0" applyNumberFormat="0" applyBorder="0" applyAlignment="0" applyProtection="0"/>
    <xf numFmtId="0" fontId="93" fillId="30" borderId="0" applyNumberFormat="0" applyBorder="0" applyAlignment="0" applyProtection="0"/>
    <xf numFmtId="0" fontId="95" fillId="48" borderId="0" applyNumberFormat="0" applyBorder="0" applyAlignment="0" applyProtection="0"/>
    <xf numFmtId="0" fontId="93" fillId="34" borderId="0" applyNumberFormat="0" applyBorder="0" applyAlignment="0" applyProtection="0"/>
    <xf numFmtId="0" fontId="95" fillId="49" borderId="0" applyNumberFormat="0" applyBorder="0" applyAlignment="0" applyProtection="0"/>
    <xf numFmtId="0" fontId="93" fillId="11" borderId="0" applyNumberFormat="0" applyBorder="0" applyAlignment="0" applyProtection="0"/>
    <xf numFmtId="0" fontId="95" fillId="50" borderId="0" applyNumberFormat="0" applyBorder="0" applyAlignment="0" applyProtection="0"/>
    <xf numFmtId="0" fontId="93" fillId="15" borderId="0" applyNumberFormat="0" applyBorder="0" applyAlignment="0" applyProtection="0"/>
    <xf numFmtId="0" fontId="95" fillId="51" borderId="0" applyNumberFormat="0" applyBorder="0" applyAlignment="0" applyProtection="0"/>
    <xf numFmtId="0" fontId="93" fillId="19" borderId="0" applyNumberFormat="0" applyBorder="0" applyAlignment="0" applyProtection="0"/>
    <xf numFmtId="0" fontId="95" fillId="46" borderId="0" applyNumberFormat="0" applyBorder="0" applyAlignment="0" applyProtection="0"/>
    <xf numFmtId="0" fontId="93" fillId="23" borderId="0" applyNumberFormat="0" applyBorder="0" applyAlignment="0" applyProtection="0"/>
    <xf numFmtId="0" fontId="95" fillId="47" borderId="0" applyNumberFormat="0" applyBorder="0" applyAlignment="0" applyProtection="0"/>
    <xf numFmtId="0" fontId="93" fillId="27" borderId="0" applyNumberFormat="0" applyBorder="0" applyAlignment="0" applyProtection="0"/>
    <xf numFmtId="0" fontId="95" fillId="52" borderId="0" applyNumberFormat="0" applyBorder="0" applyAlignment="0" applyProtection="0"/>
    <xf numFmtId="0" fontId="93" fillId="31" borderId="0" applyNumberFormat="0" applyBorder="0" applyAlignment="0" applyProtection="0"/>
    <xf numFmtId="0" fontId="96" fillId="40" borderId="19" applyNumberFormat="0" applyAlignment="0" applyProtection="0"/>
    <xf numFmtId="0" fontId="86" fillId="7" borderId="13" applyNumberFormat="0" applyAlignment="0" applyProtection="0"/>
    <xf numFmtId="0" fontId="97" fillId="53" borderId="20" applyNumberFormat="0" applyAlignment="0" applyProtection="0"/>
    <xf numFmtId="0" fontId="87" fillId="8" borderId="14" applyNumberFormat="0" applyAlignment="0" applyProtection="0"/>
    <xf numFmtId="0" fontId="98" fillId="37" borderId="0" applyNumberFormat="0" applyBorder="0" applyAlignment="0" applyProtection="0"/>
    <xf numFmtId="0" fontId="83" fillId="4" borderId="0" applyNumberFormat="0" applyBorder="0" applyAlignment="0" applyProtection="0"/>
    <xf numFmtId="0" fontId="99" fillId="0" borderId="21" applyNumberFormat="0" applyFill="0" applyAlignment="0" applyProtection="0"/>
    <xf numFmtId="0" fontId="89" fillId="0" borderId="15" applyNumberFormat="0" applyFill="0" applyAlignment="0" applyProtection="0"/>
    <xf numFmtId="0" fontId="100" fillId="54" borderId="22" applyNumberFormat="0" applyAlignment="0" applyProtection="0"/>
    <xf numFmtId="0" fontId="90" fillId="9" borderId="16" applyNumberFormat="0" applyAlignment="0" applyProtection="0"/>
    <xf numFmtId="0" fontId="101" fillId="0" borderId="23" applyNumberFormat="0" applyFill="0" applyAlignment="0" applyProtection="0"/>
    <xf numFmtId="0" fontId="80" fillId="0" borderId="10" applyNumberFormat="0" applyFill="0" applyAlignment="0" applyProtection="0"/>
    <xf numFmtId="0" fontId="102" fillId="0" borderId="24" applyNumberFormat="0" applyFill="0" applyAlignment="0" applyProtection="0"/>
    <xf numFmtId="0" fontId="81" fillId="0" borderId="11" applyNumberFormat="0" applyFill="0" applyAlignment="0" applyProtection="0"/>
    <xf numFmtId="0" fontId="103" fillId="0" borderId="25" applyNumberFormat="0" applyFill="0" applyAlignment="0" applyProtection="0"/>
    <xf numFmtId="0" fontId="82" fillId="0" borderId="12" applyNumberFormat="0" applyFill="0" applyAlignment="0" applyProtection="0"/>
    <xf numFmtId="0" fontId="10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55" borderId="0" applyNumberFormat="0" applyBorder="0" applyAlignment="0" applyProtection="0"/>
    <xf numFmtId="0" fontId="85" fillId="6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4" fillId="0" borderId="0"/>
    <xf numFmtId="0" fontId="68" fillId="0" borderId="0"/>
    <xf numFmtId="0" fontId="68" fillId="0" borderId="0"/>
    <xf numFmtId="0" fontId="94" fillId="0" borderId="0" applyProtection="0"/>
    <xf numFmtId="0" fontId="70" fillId="0" borderId="0"/>
    <xf numFmtId="0" fontId="68" fillId="0" borderId="0"/>
    <xf numFmtId="0" fontId="68" fillId="0" borderId="0"/>
    <xf numFmtId="0" fontId="34" fillId="0" borderId="0"/>
    <xf numFmtId="0" fontId="105" fillId="53" borderId="19" applyNumberFormat="0" applyAlignment="0" applyProtection="0"/>
    <xf numFmtId="0" fontId="88" fillId="8" borderId="13" applyNumberFormat="0" applyAlignment="0" applyProtection="0"/>
    <xf numFmtId="9" fontId="7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06" fillId="0" borderId="26" applyNumberFormat="0" applyFill="0" applyAlignment="0" applyProtection="0"/>
    <xf numFmtId="0" fontId="79" fillId="0" borderId="18" applyNumberFormat="0" applyFill="0" applyAlignment="0" applyProtection="0"/>
    <xf numFmtId="0" fontId="10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4" fillId="56" borderId="27" applyNumberFormat="0" applyFont="0" applyAlignment="0" applyProtection="0"/>
    <xf numFmtId="0" fontId="34" fillId="10" borderId="17" applyNumberFormat="0" applyFont="0" applyAlignment="0" applyProtection="0"/>
    <xf numFmtId="0" fontId="110" fillId="36" borderId="0" applyNumberFormat="0" applyBorder="0" applyAlignment="0" applyProtection="0"/>
    <xf numFmtId="0" fontId="84" fillId="5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71" fillId="0" borderId="0" applyNumberFormat="0" applyFill="0" applyBorder="0" applyAlignment="0" applyProtection="0">
      <alignment vertical="top"/>
    </xf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68" fillId="0" borderId="0" xfId="1" applyFont="1"/>
    <xf numFmtId="0" fontId="74" fillId="0" borderId="0" xfId="1" applyFont="1" applyAlignment="1">
      <alignment vertical="center"/>
    </xf>
    <xf numFmtId="0" fontId="68" fillId="0" borderId="0" xfId="1" applyFont="1" applyAlignment="1">
      <alignment horizontal="center"/>
    </xf>
    <xf numFmtId="0" fontId="75" fillId="0" borderId="0" xfId="1" applyFont="1"/>
    <xf numFmtId="0" fontId="76" fillId="0" borderId="1" xfId="1" applyFont="1" applyFill="1" applyBorder="1" applyAlignment="1">
      <alignment horizontal="center" vertical="center" wrapText="1"/>
    </xf>
    <xf numFmtId="0" fontId="77" fillId="0" borderId="1" xfId="1" applyFont="1" applyFill="1" applyBorder="1" applyAlignment="1">
      <alignment horizontal="center" vertical="center" wrapText="1"/>
    </xf>
    <xf numFmtId="0" fontId="76" fillId="0" borderId="0" xfId="1" applyFont="1" applyFill="1" applyAlignment="1">
      <alignment horizontal="center"/>
    </xf>
    <xf numFmtId="4" fontId="75" fillId="3" borderId="1" xfId="1" applyNumberFormat="1" applyFont="1" applyFill="1" applyBorder="1" applyAlignment="1">
      <alignment horizontal="right" vertical="center" wrapText="1"/>
    </xf>
    <xf numFmtId="0" fontId="75" fillId="0" borderId="0" xfId="1" applyFont="1" applyFill="1"/>
    <xf numFmtId="4" fontId="75" fillId="3" borderId="1" xfId="1" applyNumberFormat="1" applyFont="1" applyFill="1" applyBorder="1" applyAlignment="1"/>
    <xf numFmtId="0" fontId="75" fillId="0" borderId="0" xfId="1" applyFont="1" applyAlignment="1">
      <alignment vertical="center"/>
    </xf>
    <xf numFmtId="0" fontId="68" fillId="0" borderId="1" xfId="1" applyFont="1" applyFill="1" applyBorder="1" applyAlignment="1">
      <alignment horizontal="left" vertical="center" wrapText="1"/>
    </xf>
    <xf numFmtId="0" fontId="75" fillId="0" borderId="1" xfId="1" applyFont="1" applyFill="1" applyBorder="1" applyAlignment="1">
      <alignment horizontal="center" vertical="center"/>
    </xf>
    <xf numFmtId="4" fontId="75" fillId="0" borderId="1" xfId="1" applyNumberFormat="1" applyFont="1" applyFill="1" applyBorder="1" applyAlignment="1"/>
    <xf numFmtId="4" fontId="68" fillId="0" borderId="1" xfId="1" applyNumberFormat="1" applyFont="1" applyFill="1" applyBorder="1" applyAlignment="1"/>
    <xf numFmtId="0" fontId="68" fillId="0" borderId="0" xfId="1" applyFont="1" applyFill="1"/>
    <xf numFmtId="0" fontId="75" fillId="0" borderId="0" xfId="1" applyFont="1" applyAlignment="1">
      <alignment horizontal="center"/>
    </xf>
    <xf numFmtId="0" fontId="75" fillId="0" borderId="7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 wrapText="1"/>
    </xf>
    <xf numFmtId="4" fontId="68" fillId="0" borderId="7" xfId="1" applyNumberFormat="1" applyFont="1" applyFill="1" applyBorder="1" applyAlignment="1"/>
    <xf numFmtId="0" fontId="75" fillId="2" borderId="1" xfId="1" applyFont="1" applyFill="1" applyBorder="1" applyAlignment="1">
      <alignment horizontal="center" vertical="center"/>
    </xf>
    <xf numFmtId="0" fontId="74" fillId="0" borderId="0" xfId="1" applyFont="1" applyFill="1" applyAlignment="1">
      <alignment vertical="center"/>
    </xf>
    <xf numFmtId="0" fontId="68" fillId="0" borderId="0" xfId="1" applyFont="1" applyFill="1" applyAlignment="1">
      <alignment horizontal="center"/>
    </xf>
    <xf numFmtId="0" fontId="75" fillId="0" borderId="0" xfId="1" applyFont="1" applyFill="1" applyAlignment="1">
      <alignment vertical="center"/>
    </xf>
    <xf numFmtId="0" fontId="112" fillId="0" borderId="1" xfId="1" applyFont="1" applyFill="1" applyBorder="1" applyAlignment="1">
      <alignment horizontal="center" vertical="center"/>
    </xf>
    <xf numFmtId="0" fontId="75" fillId="0" borderId="0" xfId="1" applyFont="1" applyFill="1" applyAlignment="1">
      <alignment horizontal="center"/>
    </xf>
    <xf numFmtId="0" fontId="78" fillId="0" borderId="1" xfId="1" applyFont="1" applyFill="1" applyBorder="1" applyAlignment="1">
      <alignment horizontal="left" vertical="center" wrapText="1"/>
    </xf>
    <xf numFmtId="0" fontId="78" fillId="0" borderId="1" xfId="1" applyFont="1" applyFill="1" applyBorder="1" applyAlignment="1">
      <alignment horizontal="center" vertical="center" wrapText="1"/>
    </xf>
    <xf numFmtId="4" fontId="78" fillId="0" borderId="1" xfId="1" applyNumberFormat="1" applyFont="1" applyFill="1" applyBorder="1" applyAlignment="1"/>
    <xf numFmtId="0" fontId="78" fillId="0" borderId="0" xfId="1" applyFont="1" applyFill="1" applyAlignment="1">
      <alignment vertical="center"/>
    </xf>
    <xf numFmtId="4" fontId="112" fillId="0" borderId="1" xfId="1" applyNumberFormat="1" applyFont="1" applyFill="1" applyBorder="1" applyAlignment="1"/>
    <xf numFmtId="0" fontId="112" fillId="0" borderId="0" xfId="1" applyFont="1" applyFill="1"/>
    <xf numFmtId="0" fontId="69" fillId="0" borderId="0" xfId="110"/>
    <xf numFmtId="0" fontId="115" fillId="0" borderId="0" xfId="110" applyFont="1" applyProtection="1">
      <protection locked="0"/>
    </xf>
    <xf numFmtId="0" fontId="116" fillId="0" borderId="0" xfId="110" applyFont="1" applyBorder="1" applyProtection="1">
      <protection locked="0"/>
    </xf>
    <xf numFmtId="0" fontId="118" fillId="0" borderId="0" xfId="110" applyFont="1" applyBorder="1" applyAlignment="1" applyProtection="1">
      <alignment horizontal="left" vertical="center"/>
      <protection locked="0"/>
    </xf>
    <xf numFmtId="0" fontId="118" fillId="0" borderId="28" xfId="110" applyFont="1" applyBorder="1" applyAlignment="1" applyProtection="1">
      <alignment vertical="center" wrapText="1"/>
      <protection locked="0"/>
    </xf>
    <xf numFmtId="0" fontId="119" fillId="0" borderId="0" xfId="110" applyFont="1" applyProtection="1">
      <protection locked="0"/>
    </xf>
    <xf numFmtId="49" fontId="117" fillId="57" borderId="29" xfId="4" applyNumberFormat="1" applyFont="1" applyFill="1" applyBorder="1" applyAlignment="1">
      <alignment horizontal="center" vertical="center"/>
    </xf>
    <xf numFmtId="49" fontId="117" fillId="57" borderId="30" xfId="4" applyNumberFormat="1" applyFont="1" applyFill="1" applyBorder="1" applyAlignment="1">
      <alignment horizontal="center" vertical="center"/>
    </xf>
    <xf numFmtId="1" fontId="117" fillId="57" borderId="31" xfId="4" applyNumberFormat="1" applyFont="1" applyFill="1" applyBorder="1" applyAlignment="1">
      <alignment horizontal="center" vertical="center" wrapText="1"/>
    </xf>
    <xf numFmtId="1" fontId="117" fillId="57" borderId="32" xfId="4" applyNumberFormat="1" applyFont="1" applyFill="1" applyBorder="1" applyAlignment="1">
      <alignment horizontal="center" vertical="center" wrapText="1"/>
    </xf>
    <xf numFmtId="1" fontId="117" fillId="57" borderId="30" xfId="4" applyNumberFormat="1" applyFont="1" applyFill="1" applyBorder="1" applyAlignment="1">
      <alignment horizontal="center" vertical="center" wrapText="1"/>
    </xf>
    <xf numFmtId="1" fontId="117" fillId="57" borderId="31" xfId="4" applyNumberFormat="1" applyFont="1" applyFill="1" applyBorder="1" applyAlignment="1">
      <alignment horizontal="center" vertical="center"/>
    </xf>
    <xf numFmtId="1" fontId="117" fillId="57" borderId="32" xfId="4" applyNumberFormat="1" applyFont="1" applyFill="1" applyBorder="1" applyAlignment="1">
      <alignment horizontal="center" vertical="center"/>
    </xf>
    <xf numFmtId="0" fontId="120" fillId="0" borderId="33" xfId="110" applyFont="1" applyBorder="1" applyAlignment="1">
      <alignment horizontal="left" vertical="center"/>
    </xf>
    <xf numFmtId="0" fontId="120" fillId="0" borderId="34" xfId="110" applyFont="1" applyBorder="1" applyAlignment="1">
      <alignment vertical="center" wrapText="1"/>
    </xf>
    <xf numFmtId="164" fontId="121" fillId="3" borderId="35" xfId="4" applyNumberFormat="1" applyFont="1" applyFill="1" applyBorder="1" applyAlignment="1">
      <alignment vertical="center" shrinkToFit="1"/>
    </xf>
    <xf numFmtId="164" fontId="121" fillId="3" borderId="36" xfId="4" applyNumberFormat="1" applyFont="1" applyFill="1" applyBorder="1" applyAlignment="1">
      <alignment vertical="center" shrinkToFit="1"/>
    </xf>
    <xf numFmtId="164" fontId="121" fillId="3" borderId="34" xfId="4" applyNumberFormat="1" applyFont="1" applyFill="1" applyBorder="1" applyAlignment="1">
      <alignment vertical="center" shrinkToFit="1"/>
    </xf>
    <xf numFmtId="164" fontId="121" fillId="0" borderId="35" xfId="4" applyNumberFormat="1" applyFont="1" applyFill="1" applyBorder="1" applyAlignment="1">
      <alignment vertical="center" shrinkToFit="1"/>
    </xf>
    <xf numFmtId="164" fontId="121" fillId="0" borderId="36" xfId="4" applyNumberFormat="1" applyFont="1" applyFill="1" applyBorder="1" applyAlignment="1">
      <alignment vertical="center" shrinkToFit="1"/>
    </xf>
    <xf numFmtId="0" fontId="122" fillId="0" borderId="37" xfId="110" applyFont="1" applyBorder="1" applyAlignment="1">
      <alignment horizontal="left" vertical="center"/>
    </xf>
    <xf numFmtId="0" fontId="122" fillId="0" borderId="38" xfId="110" applyFont="1" applyBorder="1" applyAlignment="1">
      <alignment horizontal="left" vertical="center" wrapText="1" indent="1"/>
    </xf>
    <xf numFmtId="164" fontId="123" fillId="3" borderId="39" xfId="4" applyNumberFormat="1" applyFont="1" applyFill="1" applyBorder="1" applyAlignment="1">
      <alignment vertical="center" shrinkToFit="1"/>
    </xf>
    <xf numFmtId="164" fontId="123" fillId="3" borderId="40" xfId="4" applyNumberFormat="1" applyFont="1" applyFill="1" applyBorder="1" applyAlignment="1">
      <alignment vertical="center" shrinkToFit="1"/>
    </xf>
    <xf numFmtId="164" fontId="123" fillId="3" borderId="38" xfId="4" applyNumberFormat="1" applyFont="1" applyFill="1" applyBorder="1" applyAlignment="1">
      <alignment vertical="center" shrinkToFit="1"/>
    </xf>
    <xf numFmtId="164" fontId="123" fillId="0" borderId="39" xfId="4" applyNumberFormat="1" applyFont="1" applyFill="1" applyBorder="1" applyAlignment="1">
      <alignment vertical="center" shrinkToFit="1"/>
    </xf>
    <xf numFmtId="164" fontId="123" fillId="0" borderId="40" xfId="4" applyNumberFormat="1" applyFont="1" applyFill="1" applyBorder="1" applyAlignment="1">
      <alignment vertical="center" shrinkToFit="1"/>
    </xf>
    <xf numFmtId="0" fontId="122" fillId="0" borderId="38" xfId="110" applyFont="1" applyBorder="1" applyAlignment="1">
      <alignment horizontal="left" vertical="center" wrapText="1" indent="2"/>
    </xf>
    <xf numFmtId="0" fontId="122" fillId="0" borderId="38" xfId="110" applyFont="1" applyBorder="1" applyAlignment="1">
      <alignment horizontal="left" vertical="center" wrapText="1" indent="3"/>
    </xf>
    <xf numFmtId="0" fontId="120" fillId="0" borderId="37" xfId="110" applyFont="1" applyBorder="1" applyAlignment="1">
      <alignment horizontal="left" vertical="center"/>
    </xf>
    <xf numFmtId="0" fontId="120" fillId="0" borderId="38" xfId="110" applyFont="1" applyBorder="1" applyAlignment="1">
      <alignment vertical="center" wrapText="1"/>
    </xf>
    <xf numFmtId="164" fontId="121" fillId="3" borderId="39" xfId="4" applyNumberFormat="1" applyFont="1" applyFill="1" applyBorder="1" applyAlignment="1">
      <alignment vertical="center" shrinkToFit="1"/>
    </xf>
    <xf numFmtId="164" fontId="121" fillId="3" borderId="40" xfId="4" applyNumberFormat="1" applyFont="1" applyFill="1" applyBorder="1" applyAlignment="1">
      <alignment vertical="center" shrinkToFit="1"/>
    </xf>
    <xf numFmtId="164" fontId="121" fillId="3" borderId="38" xfId="4" applyNumberFormat="1" applyFont="1" applyFill="1" applyBorder="1" applyAlignment="1">
      <alignment vertical="center" shrinkToFit="1"/>
    </xf>
    <xf numFmtId="164" fontId="121" fillId="0" borderId="39" xfId="4" applyNumberFormat="1" applyFont="1" applyFill="1" applyBorder="1" applyAlignment="1">
      <alignment vertical="center" shrinkToFit="1"/>
    </xf>
    <xf numFmtId="164" fontId="121" fillId="0" borderId="40" xfId="4" applyNumberFormat="1" applyFont="1" applyFill="1" applyBorder="1" applyAlignment="1">
      <alignment vertical="center" shrinkToFit="1"/>
    </xf>
    <xf numFmtId="0" fontId="122" fillId="0" borderId="38" xfId="110" applyFont="1" applyBorder="1" applyAlignment="1">
      <alignment horizontal="left" vertical="center" wrapText="1" indent="4"/>
    </xf>
    <xf numFmtId="0" fontId="120" fillId="0" borderId="37" xfId="110" quotePrefix="1" applyFont="1" applyBorder="1" applyAlignment="1">
      <alignment horizontal="left" vertical="center"/>
    </xf>
    <xf numFmtId="164" fontId="121" fillId="3" borderId="39" xfId="4" applyNumberFormat="1" applyFont="1" applyFill="1" applyBorder="1" applyAlignment="1">
      <alignment horizontal="center" vertical="center" shrinkToFit="1"/>
    </xf>
    <xf numFmtId="164" fontId="121" fillId="3" borderId="40" xfId="4" applyNumberFormat="1" applyFont="1" applyFill="1" applyBorder="1" applyAlignment="1">
      <alignment horizontal="center" vertical="center" shrinkToFit="1"/>
    </xf>
    <xf numFmtId="164" fontId="121" fillId="3" borderId="38" xfId="4" applyNumberFormat="1" applyFont="1" applyFill="1" applyBorder="1" applyAlignment="1">
      <alignment horizontal="center" vertical="center" shrinkToFit="1"/>
    </xf>
    <xf numFmtId="164" fontId="121" fillId="0" borderId="39" xfId="4" applyNumberFormat="1" applyFont="1" applyFill="1" applyBorder="1" applyAlignment="1">
      <alignment horizontal="center" vertical="center" shrinkToFit="1"/>
    </xf>
    <xf numFmtId="164" fontId="121" fillId="0" borderId="40" xfId="4" applyNumberFormat="1" applyFont="1" applyFill="1" applyBorder="1" applyAlignment="1">
      <alignment horizontal="center" vertical="center" shrinkToFit="1"/>
    </xf>
    <xf numFmtId="0" fontId="122" fillId="0" borderId="37" xfId="110" applyFont="1" applyBorder="1" applyAlignment="1" applyProtection="1">
      <alignment horizontal="left" vertical="center"/>
      <protection locked="0"/>
    </xf>
    <xf numFmtId="0" fontId="122" fillId="0" borderId="38" xfId="110" applyFont="1" applyBorder="1" applyAlignment="1" applyProtection="1">
      <alignment horizontal="left" vertical="center" wrapText="1" indent="1"/>
      <protection locked="0"/>
    </xf>
    <xf numFmtId="10" fontId="123" fillId="0" borderId="39" xfId="4" applyNumberFormat="1" applyFont="1" applyFill="1" applyBorder="1" applyAlignment="1">
      <alignment vertical="center" shrinkToFit="1"/>
    </xf>
    <xf numFmtId="10" fontId="123" fillId="0" borderId="40" xfId="4" applyNumberFormat="1" applyFont="1" applyFill="1" applyBorder="1" applyAlignment="1">
      <alignment vertical="center" shrinkToFit="1"/>
    </xf>
    <xf numFmtId="10" fontId="123" fillId="3" borderId="39" xfId="4" applyNumberFormat="1" applyFont="1" applyFill="1" applyBorder="1" applyAlignment="1">
      <alignment vertical="center" shrinkToFit="1"/>
    </xf>
    <xf numFmtId="10" fontId="123" fillId="3" borderId="40" xfId="4" applyNumberFormat="1" applyFont="1" applyFill="1" applyBorder="1" applyAlignment="1">
      <alignment vertical="center" shrinkToFit="1"/>
    </xf>
    <xf numFmtId="10" fontId="123" fillId="3" borderId="38" xfId="4" applyNumberFormat="1" applyFont="1" applyFill="1" applyBorder="1" applyAlignment="1">
      <alignment vertical="center" shrinkToFit="1"/>
    </xf>
    <xf numFmtId="164" fontId="123" fillId="0" borderId="39" xfId="4" applyNumberFormat="1" applyFont="1" applyFill="1" applyBorder="1" applyAlignment="1">
      <alignment horizontal="center" vertical="center" shrinkToFit="1"/>
    </xf>
    <xf numFmtId="164" fontId="123" fillId="0" borderId="40" xfId="4" applyNumberFormat="1" applyFont="1" applyFill="1" applyBorder="1" applyAlignment="1">
      <alignment horizontal="center" vertical="center" shrinkToFit="1"/>
    </xf>
    <xf numFmtId="0" fontId="122" fillId="0" borderId="38" xfId="110" quotePrefix="1" applyFont="1" applyBorder="1" applyAlignment="1">
      <alignment horizontal="left" vertical="center" wrapText="1" indent="1"/>
    </xf>
    <xf numFmtId="10" fontId="123" fillId="0" borderId="39" xfId="125" applyNumberFormat="1" applyFont="1" applyFill="1" applyBorder="1" applyAlignment="1">
      <alignment vertical="center" shrinkToFit="1"/>
    </xf>
    <xf numFmtId="10" fontId="123" fillId="0" borderId="40" xfId="125" applyNumberFormat="1" applyFont="1" applyFill="1" applyBorder="1" applyAlignment="1">
      <alignment vertical="center" shrinkToFit="1"/>
    </xf>
    <xf numFmtId="0" fontId="122" fillId="0" borderId="41" xfId="110" applyFont="1" applyBorder="1" applyAlignment="1">
      <alignment horizontal="left" vertical="center"/>
    </xf>
    <xf numFmtId="0" fontId="122" fillId="0" borderId="42" xfId="110" applyFont="1" applyBorder="1" applyAlignment="1">
      <alignment horizontal="left" vertical="center" wrapText="1" indent="1"/>
    </xf>
    <xf numFmtId="164" fontId="121" fillId="3" borderId="43" xfId="4" applyNumberFormat="1" applyFont="1" applyFill="1" applyBorder="1" applyAlignment="1">
      <alignment horizontal="center" vertical="center" shrinkToFit="1"/>
    </xf>
    <xf numFmtId="164" fontId="121" fillId="3" borderId="44" xfId="4" applyNumberFormat="1" applyFont="1" applyFill="1" applyBorder="1" applyAlignment="1">
      <alignment horizontal="center" vertical="center" shrinkToFit="1"/>
    </xf>
    <xf numFmtId="164" fontId="121" fillId="3" borderId="42" xfId="4" applyNumberFormat="1" applyFont="1" applyFill="1" applyBorder="1" applyAlignment="1">
      <alignment horizontal="center" vertical="center" shrinkToFit="1"/>
    </xf>
    <xf numFmtId="10" fontId="123" fillId="0" borderId="43" xfId="125" applyNumberFormat="1" applyFont="1" applyFill="1" applyBorder="1" applyAlignment="1">
      <alignment vertical="center" shrinkToFit="1"/>
    </xf>
    <xf numFmtId="10" fontId="123" fillId="0" borderId="44" xfId="125" applyNumberFormat="1" applyFont="1" applyFill="1" applyBorder="1" applyAlignment="1">
      <alignment vertical="center" shrinkToFit="1"/>
    </xf>
    <xf numFmtId="0" fontId="119" fillId="0" borderId="0" xfId="110" applyFont="1"/>
    <xf numFmtId="0" fontId="119" fillId="0" borderId="0" xfId="110" applyFont="1" applyBorder="1" applyAlignment="1" applyProtection="1">
      <alignment vertical="center"/>
      <protection locked="0"/>
    </xf>
    <xf numFmtId="0" fontId="68" fillId="0" borderId="6" xfId="1" applyFont="1" applyFill="1" applyBorder="1" applyAlignment="1">
      <alignment horizontal="center" vertical="center" wrapText="1"/>
    </xf>
    <xf numFmtId="0" fontId="68" fillId="0" borderId="7" xfId="2" applyFont="1" applyFill="1" applyBorder="1" applyAlignment="1" applyProtection="1">
      <alignment vertical="center" wrapText="1"/>
    </xf>
    <xf numFmtId="0" fontId="68" fillId="0" borderId="2" xfId="1" applyFont="1" applyFill="1" applyBorder="1" applyAlignment="1">
      <alignment horizontal="center" vertical="center" wrapText="1"/>
    </xf>
    <xf numFmtId="0" fontId="125" fillId="0" borderId="0" xfId="1" applyFont="1" applyFill="1"/>
    <xf numFmtId="0" fontId="78" fillId="0" borderId="1" xfId="0" applyFont="1" applyFill="1" applyBorder="1" applyAlignment="1">
      <alignment horizontal="left" vertical="center" wrapText="1"/>
    </xf>
    <xf numFmtId="4" fontId="75" fillId="0" borderId="7" xfId="1" applyNumberFormat="1" applyFont="1" applyFill="1" applyBorder="1" applyAlignment="1"/>
    <xf numFmtId="0" fontId="68" fillId="0" borderId="3" xfId="1" applyFont="1" applyFill="1" applyBorder="1" applyAlignment="1">
      <alignment horizontal="left" vertical="center" wrapText="1"/>
    </xf>
    <xf numFmtId="0" fontId="126" fillId="0" borderId="0" xfId="1" applyFont="1" applyFill="1" applyAlignment="1">
      <alignment vertical="center"/>
    </xf>
    <xf numFmtId="0" fontId="125" fillId="0" borderId="0" xfId="1" applyFont="1" applyFill="1" applyAlignment="1">
      <alignment vertical="center"/>
    </xf>
    <xf numFmtId="0" fontId="113" fillId="0" borderId="0" xfId="1" applyFont="1" applyFill="1"/>
    <xf numFmtId="0" fontId="127" fillId="0" borderId="0" xfId="0" applyFont="1" applyFill="1"/>
    <xf numFmtId="0" fontId="113" fillId="0" borderId="0" xfId="1" applyFont="1" applyFill="1" applyAlignment="1">
      <alignment horizontal="center"/>
    </xf>
    <xf numFmtId="0" fontId="125" fillId="0" borderId="0" xfId="1" applyFont="1" applyFill="1" applyAlignment="1">
      <alignment horizontal="center"/>
    </xf>
    <xf numFmtId="4" fontId="78" fillId="0" borderId="1" xfId="1" applyNumberFormat="1" applyFont="1" applyFill="1" applyBorder="1" applyAlignment="1">
      <alignment horizontal="right" vertical="center"/>
    </xf>
    <xf numFmtId="0" fontId="78" fillId="0" borderId="0" xfId="1" applyFont="1" applyFill="1"/>
    <xf numFmtId="0" fontId="112" fillId="0" borderId="0" xfId="1" applyFont="1" applyFill="1" applyBorder="1"/>
    <xf numFmtId="0" fontId="78" fillId="0" borderId="8" xfId="1" applyFont="1" applyFill="1" applyBorder="1" applyAlignment="1">
      <alignment vertical="center" wrapText="1"/>
    </xf>
    <xf numFmtId="0" fontId="78" fillId="0" borderId="7" xfId="1" applyFont="1" applyFill="1" applyBorder="1" applyAlignment="1">
      <alignment horizontal="center" vertical="center" wrapText="1"/>
    </xf>
    <xf numFmtId="4" fontId="78" fillId="0" borderId="7" xfId="1" applyNumberFormat="1" applyFont="1" applyFill="1" applyBorder="1" applyAlignment="1">
      <alignment horizontal="right" vertical="center" wrapText="1"/>
    </xf>
    <xf numFmtId="0" fontId="78" fillId="0" borderId="4" xfId="1" applyFont="1" applyFill="1" applyBorder="1" applyAlignment="1">
      <alignment horizontal="left" vertical="center" wrapText="1"/>
    </xf>
    <xf numFmtId="0" fontId="112" fillId="0" borderId="4" xfId="1" applyFont="1" applyFill="1" applyBorder="1" applyAlignment="1">
      <alignment horizontal="center" vertical="center"/>
    </xf>
    <xf numFmtId="4" fontId="112" fillId="0" borderId="4" xfId="1" applyNumberFormat="1" applyFont="1" applyFill="1" applyBorder="1" applyAlignment="1"/>
    <xf numFmtId="4" fontId="78" fillId="0" borderId="4" xfId="1" applyNumberFormat="1" applyFont="1" applyFill="1" applyBorder="1" applyAlignment="1"/>
    <xf numFmtId="0" fontId="78" fillId="0" borderId="7" xfId="1" applyFont="1" applyFill="1" applyBorder="1" applyAlignment="1">
      <alignment horizontal="left" vertical="center" wrapText="1"/>
    </xf>
    <xf numFmtId="0" fontId="112" fillId="0" borderId="7" xfId="1" applyFont="1" applyFill="1" applyBorder="1" applyAlignment="1">
      <alignment horizontal="center" vertical="center"/>
    </xf>
    <xf numFmtId="4" fontId="112" fillId="0" borderId="7" xfId="1" applyNumberFormat="1" applyFont="1" applyFill="1" applyBorder="1" applyAlignment="1"/>
    <xf numFmtId="4" fontId="78" fillId="0" borderId="7" xfId="1" applyNumberFormat="1" applyFont="1" applyFill="1" applyBorder="1" applyAlignment="1"/>
    <xf numFmtId="4" fontId="112" fillId="3" borderId="1" xfId="1" applyNumberFormat="1" applyFont="1" applyFill="1" applyBorder="1" applyAlignment="1">
      <alignment horizontal="right" vertical="center" wrapText="1"/>
    </xf>
    <xf numFmtId="0" fontId="112" fillId="0" borderId="7" xfId="1" applyFont="1" applyFill="1" applyBorder="1" applyAlignment="1">
      <alignment horizontal="center" vertical="center" wrapText="1"/>
    </xf>
    <xf numFmtId="4" fontId="112" fillId="3" borderId="1" xfId="1" applyNumberFormat="1" applyFont="1" applyFill="1" applyBorder="1" applyAlignment="1"/>
    <xf numFmtId="0" fontId="112" fillId="0" borderId="0" xfId="1" applyFont="1" applyFill="1" applyAlignment="1">
      <alignment vertical="center"/>
    </xf>
    <xf numFmtId="0" fontId="112" fillId="0" borderId="0" xfId="1" applyFont="1" applyAlignment="1">
      <alignment vertical="center"/>
    </xf>
    <xf numFmtId="0" fontId="128" fillId="0" borderId="0" xfId="1" applyFont="1" applyFill="1" applyAlignment="1">
      <alignment vertical="center"/>
    </xf>
    <xf numFmtId="4" fontId="112" fillId="0" borderId="7" xfId="1" applyNumberFormat="1" applyFont="1" applyFill="1" applyBorder="1" applyAlignment="1">
      <alignment horizontal="right" vertical="center" wrapText="1"/>
    </xf>
    <xf numFmtId="0" fontId="68" fillId="0" borderId="1" xfId="1" applyFont="1" applyFill="1" applyBorder="1" applyAlignment="1">
      <alignment vertical="center" wrapText="1"/>
    </xf>
    <xf numFmtId="0" fontId="68" fillId="0" borderId="1" xfId="2" applyFont="1" applyFill="1" applyBorder="1" applyAlignment="1">
      <alignment horizontal="center" vertical="center" wrapText="1"/>
    </xf>
    <xf numFmtId="4" fontId="68" fillId="0" borderId="1" xfId="1" applyNumberFormat="1" applyFont="1" applyFill="1" applyBorder="1"/>
    <xf numFmtId="0" fontId="75" fillId="2" borderId="1" xfId="1" applyFont="1" applyFill="1" applyBorder="1" applyAlignment="1">
      <alignment horizontal="center" vertical="center" wrapText="1"/>
    </xf>
    <xf numFmtId="4" fontId="75" fillId="0" borderId="1" xfId="1" applyNumberFormat="1" applyFont="1" applyFill="1" applyBorder="1"/>
    <xf numFmtId="4" fontId="68" fillId="0" borderId="4" xfId="2" applyNumberFormat="1" applyFont="1" applyFill="1" applyBorder="1" applyAlignment="1"/>
    <xf numFmtId="0" fontId="68" fillId="0" borderId="1" xfId="1" applyFont="1" applyFill="1" applyBorder="1" applyAlignment="1">
      <alignment horizontal="center" vertical="center" wrapText="1"/>
    </xf>
    <xf numFmtId="0" fontId="68" fillId="0" borderId="3" xfId="1" applyFont="1" applyFill="1" applyBorder="1" applyAlignment="1">
      <alignment horizontal="center" vertical="center" wrapText="1"/>
    </xf>
    <xf numFmtId="0" fontId="75" fillId="0" borderId="3" xfId="1" applyFont="1" applyFill="1" applyBorder="1" applyAlignment="1">
      <alignment horizontal="center" vertical="center"/>
    </xf>
    <xf numFmtId="4" fontId="75" fillId="0" borderId="3" xfId="1" applyNumberFormat="1" applyFont="1" applyFill="1" applyBorder="1" applyAlignment="1"/>
    <xf numFmtId="4" fontId="68" fillId="0" borderId="3" xfId="1" applyNumberFormat="1" applyFont="1" applyFill="1" applyBorder="1" applyAlignment="1"/>
    <xf numFmtId="0" fontId="68" fillId="0" borderId="5" xfId="1" applyFont="1" applyFill="1" applyBorder="1" applyAlignment="1">
      <alignment horizontal="left" vertical="center" wrapText="1"/>
    </xf>
    <xf numFmtId="0" fontId="68" fillId="0" borderId="5" xfId="1" applyFont="1" applyFill="1" applyBorder="1" applyAlignment="1">
      <alignment horizontal="center" vertical="center" wrapText="1"/>
    </xf>
    <xf numFmtId="0" fontId="75" fillId="0" borderId="5" xfId="1" applyFont="1" applyFill="1" applyBorder="1" applyAlignment="1">
      <alignment horizontal="center" vertical="center"/>
    </xf>
    <xf numFmtId="4" fontId="75" fillId="0" borderId="5" xfId="1" applyNumberFormat="1" applyFont="1" applyFill="1" applyBorder="1" applyAlignment="1"/>
    <xf numFmtId="4" fontId="68" fillId="0" borderId="5" xfId="1" applyNumberFormat="1" applyFont="1" applyFill="1" applyBorder="1" applyAlignment="1"/>
    <xf numFmtId="0" fontId="68" fillId="0" borderId="7" xfId="1" applyFont="1" applyFill="1" applyBorder="1" applyAlignment="1">
      <alignment horizontal="left" vertical="center" wrapText="1"/>
    </xf>
    <xf numFmtId="0" fontId="68" fillId="0" borderId="4" xfId="2" applyFont="1" applyFill="1" applyBorder="1" applyAlignment="1">
      <alignment horizontal="left" vertical="center" wrapText="1"/>
    </xf>
    <xf numFmtId="0" fontId="68" fillId="0" borderId="4" xfId="2" applyFont="1" applyFill="1" applyBorder="1" applyAlignment="1">
      <alignment horizontal="center" vertical="center" wrapText="1"/>
    </xf>
    <xf numFmtId="0" fontId="75" fillId="0" borderId="4" xfId="2" applyFont="1" applyFill="1" applyBorder="1" applyAlignment="1">
      <alignment horizontal="center" vertical="center"/>
    </xf>
    <xf numFmtId="4" fontId="75" fillId="0" borderId="4" xfId="2" applyNumberFormat="1" applyFont="1" applyFill="1" applyBorder="1" applyAlignment="1"/>
    <xf numFmtId="0" fontId="68" fillId="0" borderId="7" xfId="2" applyFont="1" applyFill="1" applyBorder="1" applyAlignment="1">
      <alignment horizontal="left" vertical="center" wrapText="1"/>
    </xf>
    <xf numFmtId="0" fontId="68" fillId="0" borderId="7" xfId="2" applyFont="1" applyFill="1" applyBorder="1" applyAlignment="1">
      <alignment horizontal="center" vertical="center" wrapText="1"/>
    </xf>
    <xf numFmtId="4" fontId="68" fillId="0" borderId="7" xfId="1" applyNumberFormat="1" applyFont="1" applyFill="1" applyBorder="1"/>
    <xf numFmtId="4" fontId="75" fillId="0" borderId="7" xfId="1" applyNumberFormat="1" applyFont="1" applyFill="1" applyBorder="1"/>
    <xf numFmtId="4" fontId="129" fillId="0" borderId="7" xfId="0" applyNumberFormat="1" applyFont="1" applyFill="1" applyBorder="1"/>
    <xf numFmtId="0" fontId="68" fillId="0" borderId="1" xfId="2" applyFont="1" applyFill="1" applyBorder="1" applyAlignment="1">
      <alignment horizontal="left" vertical="center" wrapText="1"/>
    </xf>
    <xf numFmtId="4" fontId="129" fillId="0" borderId="1" xfId="0" applyNumberFormat="1" applyFont="1" applyFill="1" applyBorder="1"/>
    <xf numFmtId="0" fontId="68" fillId="0" borderId="1" xfId="0" applyFont="1" applyFill="1" applyBorder="1" applyAlignment="1">
      <alignment vertical="center" wrapText="1"/>
    </xf>
    <xf numFmtId="0" fontId="68" fillId="0" borderId="1" xfId="1" applyFont="1" applyFill="1" applyBorder="1"/>
    <xf numFmtId="165" fontId="68" fillId="0" borderId="1" xfId="1" applyNumberFormat="1" applyFont="1" applyFill="1" applyBorder="1" applyAlignment="1"/>
    <xf numFmtId="0" fontId="112" fillId="2" borderId="1" xfId="1" applyFont="1" applyFill="1" applyBorder="1" applyAlignment="1">
      <alignment horizontal="center" vertical="center"/>
    </xf>
    <xf numFmtId="0" fontId="78" fillId="0" borderId="0" xfId="1" applyFont="1"/>
    <xf numFmtId="0" fontId="130" fillId="0" borderId="1" xfId="1" applyFont="1" applyFill="1" applyBorder="1" applyAlignment="1">
      <alignment horizontal="center" vertical="center" wrapText="1"/>
    </xf>
    <xf numFmtId="4" fontId="78" fillId="0" borderId="3" xfId="1" applyNumberFormat="1" applyFont="1" applyFill="1" applyBorder="1" applyAlignment="1"/>
    <xf numFmtId="4" fontId="78" fillId="0" borderId="5" xfId="1" applyNumberFormat="1" applyFont="1" applyFill="1" applyBorder="1" applyAlignment="1"/>
    <xf numFmtId="4" fontId="78" fillId="0" borderId="1" xfId="1" applyNumberFormat="1" applyFont="1" applyFill="1" applyBorder="1"/>
    <xf numFmtId="4" fontId="78" fillId="0" borderId="4" xfId="2" applyNumberFormat="1" applyFont="1" applyFill="1" applyBorder="1" applyAlignment="1"/>
    <xf numFmtId="4" fontId="78" fillId="0" borderId="7" xfId="1" applyNumberFormat="1" applyFont="1" applyFill="1" applyBorder="1"/>
    <xf numFmtId="4" fontId="78" fillId="0" borderId="0" xfId="1" applyNumberFormat="1" applyFont="1" applyFill="1"/>
    <xf numFmtId="0" fontId="75" fillId="3" borderId="1" xfId="1" applyFont="1" applyFill="1" applyBorder="1" applyAlignment="1">
      <alignment horizontal="center" vertical="center"/>
    </xf>
    <xf numFmtId="0" fontId="112" fillId="3" borderId="1" xfId="1" applyFont="1" applyFill="1" applyBorder="1" applyAlignment="1">
      <alignment horizontal="center" vertical="center"/>
    </xf>
    <xf numFmtId="0" fontId="75" fillId="0" borderId="8" xfId="1" applyFont="1" applyFill="1" applyBorder="1" applyAlignment="1">
      <alignment horizontal="center" vertical="center"/>
    </xf>
    <xf numFmtId="4" fontId="68" fillId="0" borderId="7" xfId="0" applyNumberFormat="1" applyFont="1" applyFill="1" applyBorder="1"/>
    <xf numFmtId="4" fontId="125" fillId="0" borderId="7" xfId="1" applyNumberFormat="1" applyFont="1" applyFill="1" applyBorder="1"/>
    <xf numFmtId="0" fontId="68" fillId="0" borderId="6" xfId="2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vertical="center" wrapText="1"/>
    </xf>
    <xf numFmtId="0" fontId="131" fillId="0" borderId="7" xfId="11" applyFont="1" applyFill="1" applyBorder="1" applyAlignment="1">
      <alignment horizontal="left" vertical="center" wrapText="1"/>
    </xf>
    <xf numFmtId="0" fontId="117" fillId="0" borderId="28" xfId="110" applyFont="1" applyBorder="1" applyAlignment="1" applyProtection="1">
      <alignment horizontal="center" vertical="center" wrapText="1"/>
      <protection locked="0"/>
    </xf>
    <xf numFmtId="0" fontId="117" fillId="0" borderId="28" xfId="110" applyFont="1" applyBorder="1" applyAlignment="1" applyProtection="1">
      <alignment horizontal="center" vertical="center" wrapText="1"/>
      <protection locked="0"/>
    </xf>
    <xf numFmtId="0" fontId="114" fillId="0" borderId="0" xfId="3" applyFont="1" applyAlignment="1">
      <alignment horizontal="center"/>
    </xf>
    <xf numFmtId="0" fontId="73" fillId="0" borderId="0" xfId="1" applyFont="1" applyAlignment="1">
      <alignment horizontal="center" vertical="center"/>
    </xf>
    <xf numFmtId="0" fontId="75" fillId="2" borderId="1" xfId="1" applyFont="1" applyFill="1" applyBorder="1" applyAlignment="1">
      <alignment horizontal="center" vertical="center" wrapText="1"/>
    </xf>
    <xf numFmtId="0" fontId="75" fillId="2" borderId="9" xfId="1" applyFont="1" applyFill="1" applyBorder="1" applyAlignment="1">
      <alignment horizontal="center" vertical="center"/>
    </xf>
    <xf numFmtId="0" fontId="75" fillId="2" borderId="6" xfId="1" applyFont="1" applyFill="1" applyBorder="1" applyAlignment="1">
      <alignment horizontal="center" vertical="center"/>
    </xf>
    <xf numFmtId="0" fontId="112" fillId="3" borderId="8" xfId="1" applyFont="1" applyFill="1" applyBorder="1" applyAlignment="1">
      <alignment horizontal="left" vertical="center" wrapText="1"/>
    </xf>
    <xf numFmtId="0" fontId="112" fillId="3" borderId="9" xfId="1" applyFont="1" applyFill="1" applyBorder="1" applyAlignment="1">
      <alignment horizontal="left" vertical="center" wrapText="1"/>
    </xf>
    <xf numFmtId="0" fontId="112" fillId="3" borderId="6" xfId="1" applyFont="1" applyFill="1" applyBorder="1" applyAlignment="1">
      <alignment horizontal="left" vertical="center" wrapText="1"/>
    </xf>
    <xf numFmtId="0" fontId="75" fillId="3" borderId="1" xfId="1" applyFont="1" applyFill="1" applyBorder="1" applyAlignment="1">
      <alignment horizontal="left" vertical="center" wrapText="1"/>
    </xf>
  </cellXfs>
  <cellStyles count="178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4 3" xfId="167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38" xfId="147"/>
    <cellStyle name="Normalny 8 39" xfId="148"/>
    <cellStyle name="Normalny 8 4" xfId="10"/>
    <cellStyle name="Normalny 8 40" xfId="149"/>
    <cellStyle name="Normalny 8 41" xfId="150"/>
    <cellStyle name="Normalny 8 42" xfId="151"/>
    <cellStyle name="Normalny 8 43" xfId="152"/>
    <cellStyle name="Normalny 8 44" xfId="153"/>
    <cellStyle name="Normalny 8 45" xfId="154"/>
    <cellStyle name="Normalny 8 46" xfId="155"/>
    <cellStyle name="Normalny 8 47" xfId="156"/>
    <cellStyle name="Normalny 8 48" xfId="157"/>
    <cellStyle name="Normalny 8 49" xfId="158"/>
    <cellStyle name="Normalny 8 5" xfId="12"/>
    <cellStyle name="Normalny 8 50" xfId="159"/>
    <cellStyle name="Normalny 8 51" xfId="160"/>
    <cellStyle name="Normalny 8 52" xfId="161"/>
    <cellStyle name="Normalny 8 53" xfId="162"/>
    <cellStyle name="Normalny 8 54" xfId="163"/>
    <cellStyle name="Normalny 8 55" xfId="164"/>
    <cellStyle name="Normalny 8 56" xfId="165"/>
    <cellStyle name="Normalny 8 57" xfId="166"/>
    <cellStyle name="Normalny 8 58" xfId="168"/>
    <cellStyle name="Normalny 8 59" xfId="169"/>
    <cellStyle name="Normalny 8 6" xfId="13"/>
    <cellStyle name="Normalny 8 60" xfId="170"/>
    <cellStyle name="Normalny 8 61" xfId="171"/>
    <cellStyle name="Normalny 8 62" xfId="172"/>
    <cellStyle name="Normalny 8 63" xfId="173"/>
    <cellStyle name="Normalny 8 64" xfId="174"/>
    <cellStyle name="Normalny 8 65" xfId="175"/>
    <cellStyle name="Normalny 8 66" xfId="176"/>
    <cellStyle name="Normalny 8 67" xfId="177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0000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12-11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2022</v>
          </cell>
        </row>
        <row r="2">
          <cell r="N2">
            <v>2035</v>
          </cell>
        </row>
        <row r="3">
          <cell r="N3" t="str">
            <v>A7F0</v>
          </cell>
        </row>
      </sheetData>
      <sheetData sheetId="1" refreshError="1"/>
      <sheetData sheetId="2"/>
      <sheetData sheetId="3" refreshError="1"/>
      <sheetData sheetId="4">
        <row r="1">
          <cell r="M1">
            <v>2035</v>
          </cell>
        </row>
      </sheetData>
      <sheetData sheetId="5">
        <row r="1">
          <cell r="D1" t="str">
            <v>2021-08-30a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11"/>
  <sheetViews>
    <sheetView tabSelected="1" view="pageBreakPreview" zoomScaleNormal="100" zoomScaleSheetLayoutView="100" workbookViewId="0">
      <pane xSplit="2" ySplit="3" topLeftCell="C100" activePane="bottomRight" state="frozen"/>
      <selection activeCell="F10" sqref="F10"/>
      <selection pane="topRight" activeCell="F10" sqref="F10"/>
      <selection pane="bottomLeft" activeCell="F10" sqref="F10"/>
      <selection pane="bottomRight" activeCell="A92" sqref="A92:XFD92"/>
    </sheetView>
  </sheetViews>
  <sheetFormatPr defaultRowHeight="14.25"/>
  <cols>
    <col min="1" max="1" width="6.42578125" style="95" customWidth="1"/>
    <col min="2" max="2" width="36.7109375" style="95" customWidth="1"/>
    <col min="3" max="20" width="11.28515625" style="95" customWidth="1"/>
    <col min="21" max="226" width="9.140625" style="33"/>
    <col min="227" max="228" width="4.85546875" style="33" customWidth="1"/>
    <col min="229" max="229" width="7.5703125" style="33" customWidth="1"/>
    <col min="230" max="230" width="0" style="33" hidden="1" customWidth="1"/>
    <col min="231" max="231" width="63.7109375" style="33" customWidth="1"/>
    <col min="232" max="275" width="16" style="33" customWidth="1"/>
    <col min="276" max="482" width="9.140625" style="33"/>
    <col min="483" max="484" width="4.85546875" style="33" customWidth="1"/>
    <col min="485" max="485" width="7.5703125" style="33" customWidth="1"/>
    <col min="486" max="486" width="0" style="33" hidden="1" customWidth="1"/>
    <col min="487" max="487" width="63.7109375" style="33" customWidth="1"/>
    <col min="488" max="531" width="16" style="33" customWidth="1"/>
    <col min="532" max="738" width="9.140625" style="33"/>
    <col min="739" max="740" width="4.85546875" style="33" customWidth="1"/>
    <col min="741" max="741" width="7.5703125" style="33" customWidth="1"/>
    <col min="742" max="742" width="0" style="33" hidden="1" customWidth="1"/>
    <col min="743" max="743" width="63.7109375" style="33" customWidth="1"/>
    <col min="744" max="787" width="16" style="33" customWidth="1"/>
    <col min="788" max="994" width="9.140625" style="33"/>
    <col min="995" max="996" width="4.85546875" style="33" customWidth="1"/>
    <col min="997" max="997" width="7.5703125" style="33" customWidth="1"/>
    <col min="998" max="998" width="0" style="33" hidden="1" customWidth="1"/>
    <col min="999" max="999" width="63.7109375" style="33" customWidth="1"/>
    <col min="1000" max="1043" width="16" style="33" customWidth="1"/>
    <col min="1044" max="1250" width="9.140625" style="33"/>
    <col min="1251" max="1252" width="4.85546875" style="33" customWidth="1"/>
    <col min="1253" max="1253" width="7.5703125" style="33" customWidth="1"/>
    <col min="1254" max="1254" width="0" style="33" hidden="1" customWidth="1"/>
    <col min="1255" max="1255" width="63.7109375" style="33" customWidth="1"/>
    <col min="1256" max="1299" width="16" style="33" customWidth="1"/>
    <col min="1300" max="1506" width="9.140625" style="33"/>
    <col min="1507" max="1508" width="4.85546875" style="33" customWidth="1"/>
    <col min="1509" max="1509" width="7.5703125" style="33" customWidth="1"/>
    <col min="1510" max="1510" width="0" style="33" hidden="1" customWidth="1"/>
    <col min="1511" max="1511" width="63.7109375" style="33" customWidth="1"/>
    <col min="1512" max="1555" width="16" style="33" customWidth="1"/>
    <col min="1556" max="1762" width="9.140625" style="33"/>
    <col min="1763" max="1764" width="4.85546875" style="33" customWidth="1"/>
    <col min="1765" max="1765" width="7.5703125" style="33" customWidth="1"/>
    <col min="1766" max="1766" width="0" style="33" hidden="1" customWidth="1"/>
    <col min="1767" max="1767" width="63.7109375" style="33" customWidth="1"/>
    <col min="1768" max="1811" width="16" style="33" customWidth="1"/>
    <col min="1812" max="2018" width="9.140625" style="33"/>
    <col min="2019" max="2020" width="4.85546875" style="33" customWidth="1"/>
    <col min="2021" max="2021" width="7.5703125" style="33" customWidth="1"/>
    <col min="2022" max="2022" width="0" style="33" hidden="1" customWidth="1"/>
    <col min="2023" max="2023" width="63.7109375" style="33" customWidth="1"/>
    <col min="2024" max="2067" width="16" style="33" customWidth="1"/>
    <col min="2068" max="2274" width="9.140625" style="33"/>
    <col min="2275" max="2276" width="4.85546875" style="33" customWidth="1"/>
    <col min="2277" max="2277" width="7.5703125" style="33" customWidth="1"/>
    <col min="2278" max="2278" width="0" style="33" hidden="1" customWidth="1"/>
    <col min="2279" max="2279" width="63.7109375" style="33" customWidth="1"/>
    <col min="2280" max="2323" width="16" style="33" customWidth="1"/>
    <col min="2324" max="2530" width="9.140625" style="33"/>
    <col min="2531" max="2532" width="4.85546875" style="33" customWidth="1"/>
    <col min="2533" max="2533" width="7.5703125" style="33" customWidth="1"/>
    <col min="2534" max="2534" width="0" style="33" hidden="1" customWidth="1"/>
    <col min="2535" max="2535" width="63.7109375" style="33" customWidth="1"/>
    <col min="2536" max="2579" width="16" style="33" customWidth="1"/>
    <col min="2580" max="2786" width="9.140625" style="33"/>
    <col min="2787" max="2788" width="4.85546875" style="33" customWidth="1"/>
    <col min="2789" max="2789" width="7.5703125" style="33" customWidth="1"/>
    <col min="2790" max="2790" width="0" style="33" hidden="1" customWidth="1"/>
    <col min="2791" max="2791" width="63.7109375" style="33" customWidth="1"/>
    <col min="2792" max="2835" width="16" style="33" customWidth="1"/>
    <col min="2836" max="3042" width="9.140625" style="33"/>
    <col min="3043" max="3044" width="4.85546875" style="33" customWidth="1"/>
    <col min="3045" max="3045" width="7.5703125" style="33" customWidth="1"/>
    <col min="3046" max="3046" width="0" style="33" hidden="1" customWidth="1"/>
    <col min="3047" max="3047" width="63.7109375" style="33" customWidth="1"/>
    <col min="3048" max="3091" width="16" style="33" customWidth="1"/>
    <col min="3092" max="3298" width="9.140625" style="33"/>
    <col min="3299" max="3300" width="4.85546875" style="33" customWidth="1"/>
    <col min="3301" max="3301" width="7.5703125" style="33" customWidth="1"/>
    <col min="3302" max="3302" width="0" style="33" hidden="1" customWidth="1"/>
    <col min="3303" max="3303" width="63.7109375" style="33" customWidth="1"/>
    <col min="3304" max="3347" width="16" style="33" customWidth="1"/>
    <col min="3348" max="3554" width="9.140625" style="33"/>
    <col min="3555" max="3556" width="4.85546875" style="33" customWidth="1"/>
    <col min="3557" max="3557" width="7.5703125" style="33" customWidth="1"/>
    <col min="3558" max="3558" width="0" style="33" hidden="1" customWidth="1"/>
    <col min="3559" max="3559" width="63.7109375" style="33" customWidth="1"/>
    <col min="3560" max="3603" width="16" style="33" customWidth="1"/>
    <col min="3604" max="3810" width="9.140625" style="33"/>
    <col min="3811" max="3812" width="4.85546875" style="33" customWidth="1"/>
    <col min="3813" max="3813" width="7.5703125" style="33" customWidth="1"/>
    <col min="3814" max="3814" width="0" style="33" hidden="1" customWidth="1"/>
    <col min="3815" max="3815" width="63.7109375" style="33" customWidth="1"/>
    <col min="3816" max="3859" width="16" style="33" customWidth="1"/>
    <col min="3860" max="4066" width="9.140625" style="33"/>
    <col min="4067" max="4068" width="4.85546875" style="33" customWidth="1"/>
    <col min="4069" max="4069" width="7.5703125" style="33" customWidth="1"/>
    <col min="4070" max="4070" width="0" style="33" hidden="1" customWidth="1"/>
    <col min="4071" max="4071" width="63.7109375" style="33" customWidth="1"/>
    <col min="4072" max="4115" width="16" style="33" customWidth="1"/>
    <col min="4116" max="4322" width="9.140625" style="33"/>
    <col min="4323" max="4324" width="4.85546875" style="33" customWidth="1"/>
    <col min="4325" max="4325" width="7.5703125" style="33" customWidth="1"/>
    <col min="4326" max="4326" width="0" style="33" hidden="1" customWidth="1"/>
    <col min="4327" max="4327" width="63.7109375" style="33" customWidth="1"/>
    <col min="4328" max="4371" width="16" style="33" customWidth="1"/>
    <col min="4372" max="4578" width="9.140625" style="33"/>
    <col min="4579" max="4580" width="4.85546875" style="33" customWidth="1"/>
    <col min="4581" max="4581" width="7.5703125" style="33" customWidth="1"/>
    <col min="4582" max="4582" width="0" style="33" hidden="1" customWidth="1"/>
    <col min="4583" max="4583" width="63.7109375" style="33" customWidth="1"/>
    <col min="4584" max="4627" width="16" style="33" customWidth="1"/>
    <col min="4628" max="4834" width="9.140625" style="33"/>
    <col min="4835" max="4836" width="4.85546875" style="33" customWidth="1"/>
    <col min="4837" max="4837" width="7.5703125" style="33" customWidth="1"/>
    <col min="4838" max="4838" width="0" style="33" hidden="1" customWidth="1"/>
    <col min="4839" max="4839" width="63.7109375" style="33" customWidth="1"/>
    <col min="4840" max="4883" width="16" style="33" customWidth="1"/>
    <col min="4884" max="5090" width="9.140625" style="33"/>
    <col min="5091" max="5092" width="4.85546875" style="33" customWidth="1"/>
    <col min="5093" max="5093" width="7.5703125" style="33" customWidth="1"/>
    <col min="5094" max="5094" width="0" style="33" hidden="1" customWidth="1"/>
    <col min="5095" max="5095" width="63.7109375" style="33" customWidth="1"/>
    <col min="5096" max="5139" width="16" style="33" customWidth="1"/>
    <col min="5140" max="5346" width="9.140625" style="33"/>
    <col min="5347" max="5348" width="4.85546875" style="33" customWidth="1"/>
    <col min="5349" max="5349" width="7.5703125" style="33" customWidth="1"/>
    <col min="5350" max="5350" width="0" style="33" hidden="1" customWidth="1"/>
    <col min="5351" max="5351" width="63.7109375" style="33" customWidth="1"/>
    <col min="5352" max="5395" width="16" style="33" customWidth="1"/>
    <col min="5396" max="5602" width="9.140625" style="33"/>
    <col min="5603" max="5604" width="4.85546875" style="33" customWidth="1"/>
    <col min="5605" max="5605" width="7.5703125" style="33" customWidth="1"/>
    <col min="5606" max="5606" width="0" style="33" hidden="1" customWidth="1"/>
    <col min="5607" max="5607" width="63.7109375" style="33" customWidth="1"/>
    <col min="5608" max="5651" width="16" style="33" customWidth="1"/>
    <col min="5652" max="5858" width="9.140625" style="33"/>
    <col min="5859" max="5860" width="4.85546875" style="33" customWidth="1"/>
    <col min="5861" max="5861" width="7.5703125" style="33" customWidth="1"/>
    <col min="5862" max="5862" width="0" style="33" hidden="1" customWidth="1"/>
    <col min="5863" max="5863" width="63.7109375" style="33" customWidth="1"/>
    <col min="5864" max="5907" width="16" style="33" customWidth="1"/>
    <col min="5908" max="6114" width="9.140625" style="33"/>
    <col min="6115" max="6116" width="4.85546875" style="33" customWidth="1"/>
    <col min="6117" max="6117" width="7.5703125" style="33" customWidth="1"/>
    <col min="6118" max="6118" width="0" style="33" hidden="1" customWidth="1"/>
    <col min="6119" max="6119" width="63.7109375" style="33" customWidth="1"/>
    <col min="6120" max="6163" width="16" style="33" customWidth="1"/>
    <col min="6164" max="6370" width="9.140625" style="33"/>
    <col min="6371" max="6372" width="4.85546875" style="33" customWidth="1"/>
    <col min="6373" max="6373" width="7.5703125" style="33" customWidth="1"/>
    <col min="6374" max="6374" width="0" style="33" hidden="1" customWidth="1"/>
    <col min="6375" max="6375" width="63.7109375" style="33" customWidth="1"/>
    <col min="6376" max="6419" width="16" style="33" customWidth="1"/>
    <col min="6420" max="6626" width="9.140625" style="33"/>
    <col min="6627" max="6628" width="4.85546875" style="33" customWidth="1"/>
    <col min="6629" max="6629" width="7.5703125" style="33" customWidth="1"/>
    <col min="6630" max="6630" width="0" style="33" hidden="1" customWidth="1"/>
    <col min="6631" max="6631" width="63.7109375" style="33" customWidth="1"/>
    <col min="6632" max="6675" width="16" style="33" customWidth="1"/>
    <col min="6676" max="6882" width="9.140625" style="33"/>
    <col min="6883" max="6884" width="4.85546875" style="33" customWidth="1"/>
    <col min="6885" max="6885" width="7.5703125" style="33" customWidth="1"/>
    <col min="6886" max="6886" width="0" style="33" hidden="1" customWidth="1"/>
    <col min="6887" max="6887" width="63.7109375" style="33" customWidth="1"/>
    <col min="6888" max="6931" width="16" style="33" customWidth="1"/>
    <col min="6932" max="7138" width="9.140625" style="33"/>
    <col min="7139" max="7140" width="4.85546875" style="33" customWidth="1"/>
    <col min="7141" max="7141" width="7.5703125" style="33" customWidth="1"/>
    <col min="7142" max="7142" width="0" style="33" hidden="1" customWidth="1"/>
    <col min="7143" max="7143" width="63.7109375" style="33" customWidth="1"/>
    <col min="7144" max="7187" width="16" style="33" customWidth="1"/>
    <col min="7188" max="7394" width="9.140625" style="33"/>
    <col min="7395" max="7396" width="4.85546875" style="33" customWidth="1"/>
    <col min="7397" max="7397" width="7.5703125" style="33" customWidth="1"/>
    <col min="7398" max="7398" width="0" style="33" hidden="1" customWidth="1"/>
    <col min="7399" max="7399" width="63.7109375" style="33" customWidth="1"/>
    <col min="7400" max="7443" width="16" style="33" customWidth="1"/>
    <col min="7444" max="7650" width="9.140625" style="33"/>
    <col min="7651" max="7652" width="4.85546875" style="33" customWidth="1"/>
    <col min="7653" max="7653" width="7.5703125" style="33" customWidth="1"/>
    <col min="7654" max="7654" width="0" style="33" hidden="1" customWidth="1"/>
    <col min="7655" max="7655" width="63.7109375" style="33" customWidth="1"/>
    <col min="7656" max="7699" width="16" style="33" customWidth="1"/>
    <col min="7700" max="7906" width="9.140625" style="33"/>
    <col min="7907" max="7908" width="4.85546875" style="33" customWidth="1"/>
    <col min="7909" max="7909" width="7.5703125" style="33" customWidth="1"/>
    <col min="7910" max="7910" width="0" style="33" hidden="1" customWidth="1"/>
    <col min="7911" max="7911" width="63.7109375" style="33" customWidth="1"/>
    <col min="7912" max="7955" width="16" style="33" customWidth="1"/>
    <col min="7956" max="8162" width="9.140625" style="33"/>
    <col min="8163" max="8164" width="4.85546875" style="33" customWidth="1"/>
    <col min="8165" max="8165" width="7.5703125" style="33" customWidth="1"/>
    <col min="8166" max="8166" width="0" style="33" hidden="1" customWidth="1"/>
    <col min="8167" max="8167" width="63.7109375" style="33" customWidth="1"/>
    <col min="8168" max="8211" width="16" style="33" customWidth="1"/>
    <col min="8212" max="8418" width="9.140625" style="33"/>
    <col min="8419" max="8420" width="4.85546875" style="33" customWidth="1"/>
    <col min="8421" max="8421" width="7.5703125" style="33" customWidth="1"/>
    <col min="8422" max="8422" width="0" style="33" hidden="1" customWidth="1"/>
    <col min="8423" max="8423" width="63.7109375" style="33" customWidth="1"/>
    <col min="8424" max="8467" width="16" style="33" customWidth="1"/>
    <col min="8468" max="8674" width="9.140625" style="33"/>
    <col min="8675" max="8676" width="4.85546875" style="33" customWidth="1"/>
    <col min="8677" max="8677" width="7.5703125" style="33" customWidth="1"/>
    <col min="8678" max="8678" width="0" style="33" hidden="1" customWidth="1"/>
    <col min="8679" max="8679" width="63.7109375" style="33" customWidth="1"/>
    <col min="8680" max="8723" width="16" style="33" customWidth="1"/>
    <col min="8724" max="8930" width="9.140625" style="33"/>
    <col min="8931" max="8932" width="4.85546875" style="33" customWidth="1"/>
    <col min="8933" max="8933" width="7.5703125" style="33" customWidth="1"/>
    <col min="8934" max="8934" width="0" style="33" hidden="1" customWidth="1"/>
    <col min="8935" max="8935" width="63.7109375" style="33" customWidth="1"/>
    <col min="8936" max="8979" width="16" style="33" customWidth="1"/>
    <col min="8980" max="9186" width="9.140625" style="33"/>
    <col min="9187" max="9188" width="4.85546875" style="33" customWidth="1"/>
    <col min="9189" max="9189" width="7.5703125" style="33" customWidth="1"/>
    <col min="9190" max="9190" width="0" style="33" hidden="1" customWidth="1"/>
    <col min="9191" max="9191" width="63.7109375" style="33" customWidth="1"/>
    <col min="9192" max="9235" width="16" style="33" customWidth="1"/>
    <col min="9236" max="9442" width="9.140625" style="33"/>
    <col min="9443" max="9444" width="4.85546875" style="33" customWidth="1"/>
    <col min="9445" max="9445" width="7.5703125" style="33" customWidth="1"/>
    <col min="9446" max="9446" width="0" style="33" hidden="1" customWidth="1"/>
    <col min="9447" max="9447" width="63.7109375" style="33" customWidth="1"/>
    <col min="9448" max="9491" width="16" style="33" customWidth="1"/>
    <col min="9492" max="9698" width="9.140625" style="33"/>
    <col min="9699" max="9700" width="4.85546875" style="33" customWidth="1"/>
    <col min="9701" max="9701" width="7.5703125" style="33" customWidth="1"/>
    <col min="9702" max="9702" width="0" style="33" hidden="1" customWidth="1"/>
    <col min="9703" max="9703" width="63.7109375" style="33" customWidth="1"/>
    <col min="9704" max="9747" width="16" style="33" customWidth="1"/>
    <col min="9748" max="9954" width="9.140625" style="33"/>
    <col min="9955" max="9956" width="4.85546875" style="33" customWidth="1"/>
    <col min="9957" max="9957" width="7.5703125" style="33" customWidth="1"/>
    <col min="9958" max="9958" width="0" style="33" hidden="1" customWidth="1"/>
    <col min="9959" max="9959" width="63.7109375" style="33" customWidth="1"/>
    <col min="9960" max="10003" width="16" style="33" customWidth="1"/>
    <col min="10004" max="10210" width="9.140625" style="33"/>
    <col min="10211" max="10212" width="4.85546875" style="33" customWidth="1"/>
    <col min="10213" max="10213" width="7.5703125" style="33" customWidth="1"/>
    <col min="10214" max="10214" width="0" style="33" hidden="1" customWidth="1"/>
    <col min="10215" max="10215" width="63.7109375" style="33" customWidth="1"/>
    <col min="10216" max="10259" width="16" style="33" customWidth="1"/>
    <col min="10260" max="10466" width="9.140625" style="33"/>
    <col min="10467" max="10468" width="4.85546875" style="33" customWidth="1"/>
    <col min="10469" max="10469" width="7.5703125" style="33" customWidth="1"/>
    <col min="10470" max="10470" width="0" style="33" hidden="1" customWidth="1"/>
    <col min="10471" max="10471" width="63.7109375" style="33" customWidth="1"/>
    <col min="10472" max="10515" width="16" style="33" customWidth="1"/>
    <col min="10516" max="10722" width="9.140625" style="33"/>
    <col min="10723" max="10724" width="4.85546875" style="33" customWidth="1"/>
    <col min="10725" max="10725" width="7.5703125" style="33" customWidth="1"/>
    <col min="10726" max="10726" width="0" style="33" hidden="1" customWidth="1"/>
    <col min="10727" max="10727" width="63.7109375" style="33" customWidth="1"/>
    <col min="10728" max="10771" width="16" style="33" customWidth="1"/>
    <col min="10772" max="10978" width="9.140625" style="33"/>
    <col min="10979" max="10980" width="4.85546875" style="33" customWidth="1"/>
    <col min="10981" max="10981" width="7.5703125" style="33" customWidth="1"/>
    <col min="10982" max="10982" width="0" style="33" hidden="1" customWidth="1"/>
    <col min="10983" max="10983" width="63.7109375" style="33" customWidth="1"/>
    <col min="10984" max="11027" width="16" style="33" customWidth="1"/>
    <col min="11028" max="11234" width="9.140625" style="33"/>
    <col min="11235" max="11236" width="4.85546875" style="33" customWidth="1"/>
    <col min="11237" max="11237" width="7.5703125" style="33" customWidth="1"/>
    <col min="11238" max="11238" width="0" style="33" hidden="1" customWidth="1"/>
    <col min="11239" max="11239" width="63.7109375" style="33" customWidth="1"/>
    <col min="11240" max="11283" width="16" style="33" customWidth="1"/>
    <col min="11284" max="11490" width="9.140625" style="33"/>
    <col min="11491" max="11492" width="4.85546875" style="33" customWidth="1"/>
    <col min="11493" max="11493" width="7.5703125" style="33" customWidth="1"/>
    <col min="11494" max="11494" width="0" style="33" hidden="1" customWidth="1"/>
    <col min="11495" max="11495" width="63.7109375" style="33" customWidth="1"/>
    <col min="11496" max="11539" width="16" style="33" customWidth="1"/>
    <col min="11540" max="11746" width="9.140625" style="33"/>
    <col min="11747" max="11748" width="4.85546875" style="33" customWidth="1"/>
    <col min="11749" max="11749" width="7.5703125" style="33" customWidth="1"/>
    <col min="11750" max="11750" width="0" style="33" hidden="1" customWidth="1"/>
    <col min="11751" max="11751" width="63.7109375" style="33" customWidth="1"/>
    <col min="11752" max="11795" width="16" style="33" customWidth="1"/>
    <col min="11796" max="12002" width="9.140625" style="33"/>
    <col min="12003" max="12004" width="4.85546875" style="33" customWidth="1"/>
    <col min="12005" max="12005" width="7.5703125" style="33" customWidth="1"/>
    <col min="12006" max="12006" width="0" style="33" hidden="1" customWidth="1"/>
    <col min="12007" max="12007" width="63.7109375" style="33" customWidth="1"/>
    <col min="12008" max="12051" width="16" style="33" customWidth="1"/>
    <col min="12052" max="12258" width="9.140625" style="33"/>
    <col min="12259" max="12260" width="4.85546875" style="33" customWidth="1"/>
    <col min="12261" max="12261" width="7.5703125" style="33" customWidth="1"/>
    <col min="12262" max="12262" width="0" style="33" hidden="1" customWidth="1"/>
    <col min="12263" max="12263" width="63.7109375" style="33" customWidth="1"/>
    <col min="12264" max="12307" width="16" style="33" customWidth="1"/>
    <col min="12308" max="12514" width="9.140625" style="33"/>
    <col min="12515" max="12516" width="4.85546875" style="33" customWidth="1"/>
    <col min="12517" max="12517" width="7.5703125" style="33" customWidth="1"/>
    <col min="12518" max="12518" width="0" style="33" hidden="1" customWidth="1"/>
    <col min="12519" max="12519" width="63.7109375" style="33" customWidth="1"/>
    <col min="12520" max="12563" width="16" style="33" customWidth="1"/>
    <col min="12564" max="12770" width="9.140625" style="33"/>
    <col min="12771" max="12772" width="4.85546875" style="33" customWidth="1"/>
    <col min="12773" max="12773" width="7.5703125" style="33" customWidth="1"/>
    <col min="12774" max="12774" width="0" style="33" hidden="1" customWidth="1"/>
    <col min="12775" max="12775" width="63.7109375" style="33" customWidth="1"/>
    <col min="12776" max="12819" width="16" style="33" customWidth="1"/>
    <col min="12820" max="13026" width="9.140625" style="33"/>
    <col min="13027" max="13028" width="4.85546875" style="33" customWidth="1"/>
    <col min="13029" max="13029" width="7.5703125" style="33" customWidth="1"/>
    <col min="13030" max="13030" width="0" style="33" hidden="1" customWidth="1"/>
    <col min="13031" max="13031" width="63.7109375" style="33" customWidth="1"/>
    <col min="13032" max="13075" width="16" style="33" customWidth="1"/>
    <col min="13076" max="13282" width="9.140625" style="33"/>
    <col min="13283" max="13284" width="4.85546875" style="33" customWidth="1"/>
    <col min="13285" max="13285" width="7.5703125" style="33" customWidth="1"/>
    <col min="13286" max="13286" width="0" style="33" hidden="1" customWidth="1"/>
    <col min="13287" max="13287" width="63.7109375" style="33" customWidth="1"/>
    <col min="13288" max="13331" width="16" style="33" customWidth="1"/>
    <col min="13332" max="13538" width="9.140625" style="33"/>
    <col min="13539" max="13540" width="4.85546875" style="33" customWidth="1"/>
    <col min="13541" max="13541" width="7.5703125" style="33" customWidth="1"/>
    <col min="13542" max="13542" width="0" style="33" hidden="1" customWidth="1"/>
    <col min="13543" max="13543" width="63.7109375" style="33" customWidth="1"/>
    <col min="13544" max="13587" width="16" style="33" customWidth="1"/>
    <col min="13588" max="13794" width="9.140625" style="33"/>
    <col min="13795" max="13796" width="4.85546875" style="33" customWidth="1"/>
    <col min="13797" max="13797" width="7.5703125" style="33" customWidth="1"/>
    <col min="13798" max="13798" width="0" style="33" hidden="1" customWidth="1"/>
    <col min="13799" max="13799" width="63.7109375" style="33" customWidth="1"/>
    <col min="13800" max="13843" width="16" style="33" customWidth="1"/>
    <col min="13844" max="14050" width="9.140625" style="33"/>
    <col min="14051" max="14052" width="4.85546875" style="33" customWidth="1"/>
    <col min="14053" max="14053" width="7.5703125" style="33" customWidth="1"/>
    <col min="14054" max="14054" width="0" style="33" hidden="1" customWidth="1"/>
    <col min="14055" max="14055" width="63.7109375" style="33" customWidth="1"/>
    <col min="14056" max="14099" width="16" style="33" customWidth="1"/>
    <col min="14100" max="14306" width="9.140625" style="33"/>
    <col min="14307" max="14308" width="4.85546875" style="33" customWidth="1"/>
    <col min="14309" max="14309" width="7.5703125" style="33" customWidth="1"/>
    <col min="14310" max="14310" width="0" style="33" hidden="1" customWidth="1"/>
    <col min="14311" max="14311" width="63.7109375" style="33" customWidth="1"/>
    <col min="14312" max="14355" width="16" style="33" customWidth="1"/>
    <col min="14356" max="14562" width="9.140625" style="33"/>
    <col min="14563" max="14564" width="4.85546875" style="33" customWidth="1"/>
    <col min="14565" max="14565" width="7.5703125" style="33" customWidth="1"/>
    <col min="14566" max="14566" width="0" style="33" hidden="1" customWidth="1"/>
    <col min="14567" max="14567" width="63.7109375" style="33" customWidth="1"/>
    <col min="14568" max="14611" width="16" style="33" customWidth="1"/>
    <col min="14612" max="14818" width="9.140625" style="33"/>
    <col min="14819" max="14820" width="4.85546875" style="33" customWidth="1"/>
    <col min="14821" max="14821" width="7.5703125" style="33" customWidth="1"/>
    <col min="14822" max="14822" width="0" style="33" hidden="1" customWidth="1"/>
    <col min="14823" max="14823" width="63.7109375" style="33" customWidth="1"/>
    <col min="14824" max="14867" width="16" style="33" customWidth="1"/>
    <col min="14868" max="15074" width="9.140625" style="33"/>
    <col min="15075" max="15076" width="4.85546875" style="33" customWidth="1"/>
    <col min="15077" max="15077" width="7.5703125" style="33" customWidth="1"/>
    <col min="15078" max="15078" width="0" style="33" hidden="1" customWidth="1"/>
    <col min="15079" max="15079" width="63.7109375" style="33" customWidth="1"/>
    <col min="15080" max="15123" width="16" style="33" customWidth="1"/>
    <col min="15124" max="15330" width="9.140625" style="33"/>
    <col min="15331" max="15332" width="4.85546875" style="33" customWidth="1"/>
    <col min="15333" max="15333" width="7.5703125" style="33" customWidth="1"/>
    <col min="15334" max="15334" width="0" style="33" hidden="1" customWidth="1"/>
    <col min="15335" max="15335" width="63.7109375" style="33" customWidth="1"/>
    <col min="15336" max="15379" width="16" style="33" customWidth="1"/>
    <col min="15380" max="15586" width="9.140625" style="33"/>
    <col min="15587" max="15588" width="4.85546875" style="33" customWidth="1"/>
    <col min="15589" max="15589" width="7.5703125" style="33" customWidth="1"/>
    <col min="15590" max="15590" width="0" style="33" hidden="1" customWidth="1"/>
    <col min="15591" max="15591" width="63.7109375" style="33" customWidth="1"/>
    <col min="15592" max="15635" width="16" style="33" customWidth="1"/>
    <col min="15636" max="15842" width="9.140625" style="33"/>
    <col min="15843" max="15844" width="4.85546875" style="33" customWidth="1"/>
    <col min="15845" max="15845" width="7.5703125" style="33" customWidth="1"/>
    <col min="15846" max="15846" width="0" style="33" hidden="1" customWidth="1"/>
    <col min="15847" max="15847" width="63.7109375" style="33" customWidth="1"/>
    <col min="15848" max="15891" width="16" style="33" customWidth="1"/>
    <col min="15892" max="16098" width="9.140625" style="33"/>
    <col min="16099" max="16100" width="4.85546875" style="33" customWidth="1"/>
    <col min="16101" max="16101" width="7.5703125" style="33" customWidth="1"/>
    <col min="16102" max="16102" width="0" style="33" hidden="1" customWidth="1"/>
    <col min="16103" max="16103" width="63.7109375" style="33" customWidth="1"/>
    <col min="16104" max="16147" width="16" style="33" customWidth="1"/>
    <col min="16148" max="16384" width="9.140625" style="33"/>
  </cols>
  <sheetData>
    <row r="1" spans="1:20" ht="20.25">
      <c r="A1" s="181" t="s">
        <v>95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ht="15.75">
      <c r="A2" s="34"/>
      <c r="B2" s="35"/>
      <c r="C2" s="180" t="s">
        <v>96</v>
      </c>
      <c r="D2" s="180"/>
      <c r="E2" s="179" t="s">
        <v>97</v>
      </c>
      <c r="F2" s="179" t="s">
        <v>96</v>
      </c>
      <c r="G2" s="36" t="str">
        <f>""</f>
        <v/>
      </c>
      <c r="H2" s="37"/>
      <c r="I2" s="37"/>
      <c r="J2" s="37"/>
      <c r="K2" s="37"/>
      <c r="L2" s="38"/>
      <c r="M2" s="38"/>
      <c r="N2" s="38"/>
      <c r="O2" s="38"/>
      <c r="P2" s="38"/>
      <c r="Q2" s="38"/>
      <c r="R2" s="38"/>
      <c r="S2" s="38"/>
      <c r="T2" s="38"/>
    </row>
    <row r="3" spans="1:20" ht="18" customHeight="1">
      <c r="A3" s="39" t="s">
        <v>0</v>
      </c>
      <c r="B3" s="40" t="s">
        <v>98</v>
      </c>
      <c r="C3" s="41">
        <f>+D3-1</f>
        <v>2019</v>
      </c>
      <c r="D3" s="42">
        <f>+E3-1</f>
        <v>2020</v>
      </c>
      <c r="E3" s="42">
        <f>+F3</f>
        <v>2021</v>
      </c>
      <c r="F3" s="43">
        <f>+G3-1</f>
        <v>2021</v>
      </c>
      <c r="G3" s="44">
        <f>+[4]DaneZrodlowe!$N$1</f>
        <v>2022</v>
      </c>
      <c r="H3" s="45">
        <f t="shared" ref="H3:T3" si="0">+G3+1</f>
        <v>2023</v>
      </c>
      <c r="I3" s="45">
        <f t="shared" si="0"/>
        <v>2024</v>
      </c>
      <c r="J3" s="45">
        <f t="shared" si="0"/>
        <v>2025</v>
      </c>
      <c r="K3" s="45">
        <f t="shared" si="0"/>
        <v>2026</v>
      </c>
      <c r="L3" s="45">
        <f t="shared" si="0"/>
        <v>2027</v>
      </c>
      <c r="M3" s="45">
        <f t="shared" si="0"/>
        <v>2028</v>
      </c>
      <c r="N3" s="45">
        <f t="shared" si="0"/>
        <v>2029</v>
      </c>
      <c r="O3" s="45">
        <f t="shared" si="0"/>
        <v>2030</v>
      </c>
      <c r="P3" s="45">
        <f t="shared" si="0"/>
        <v>2031</v>
      </c>
      <c r="Q3" s="45">
        <f t="shared" si="0"/>
        <v>2032</v>
      </c>
      <c r="R3" s="45">
        <f t="shared" si="0"/>
        <v>2033</v>
      </c>
      <c r="S3" s="45">
        <f t="shared" si="0"/>
        <v>2034</v>
      </c>
      <c r="T3" s="45">
        <f t="shared" si="0"/>
        <v>2035</v>
      </c>
    </row>
    <row r="4" spans="1:20" ht="18" customHeight="1">
      <c r="A4" s="46">
        <v>1</v>
      </c>
      <c r="B4" s="47" t="s">
        <v>99</v>
      </c>
      <c r="C4" s="48">
        <f>153315639.25</f>
        <v>153315639.25</v>
      </c>
      <c r="D4" s="49">
        <f>167766095.44</f>
        <v>167766095.44</v>
      </c>
      <c r="E4" s="49">
        <f>167071792</f>
        <v>167071792</v>
      </c>
      <c r="F4" s="50">
        <f>167588058</f>
        <v>167588058</v>
      </c>
      <c r="G4" s="51">
        <f>175228600</f>
        <v>175228600</v>
      </c>
      <c r="H4" s="52">
        <f>172390714</f>
        <v>172390714</v>
      </c>
      <c r="I4" s="52">
        <f>176644389</f>
        <v>176644389</v>
      </c>
      <c r="J4" s="52">
        <f>181599443</f>
        <v>181599443</v>
      </c>
      <c r="K4" s="52">
        <f>183262923</f>
        <v>183262923</v>
      </c>
      <c r="L4" s="52">
        <f>189459862</f>
        <v>189459862</v>
      </c>
      <c r="M4" s="52">
        <f>194679037</f>
        <v>194679037</v>
      </c>
      <c r="N4" s="52">
        <f>200714087</f>
        <v>200714087</v>
      </c>
      <c r="O4" s="52">
        <f>206534796</f>
        <v>206534796</v>
      </c>
      <c r="P4" s="52">
        <f>212317770</f>
        <v>212317770</v>
      </c>
      <c r="Q4" s="52">
        <f>218050350</f>
        <v>218050350</v>
      </c>
      <c r="R4" s="52">
        <f>223719659</f>
        <v>223719659</v>
      </c>
      <c r="S4" s="52">
        <f>229312651</f>
        <v>229312651</v>
      </c>
      <c r="T4" s="52">
        <f>235045468</f>
        <v>235045468</v>
      </c>
    </row>
    <row r="5" spans="1:20" ht="18" customHeight="1">
      <c r="A5" s="53" t="s">
        <v>100</v>
      </c>
      <c r="B5" s="54" t="s">
        <v>101</v>
      </c>
      <c r="C5" s="55">
        <f>141340639.13</f>
        <v>141340639.13</v>
      </c>
      <c r="D5" s="56">
        <f>149805470.35</f>
        <v>149805470.34999999</v>
      </c>
      <c r="E5" s="56">
        <f>154683690</f>
        <v>154683690</v>
      </c>
      <c r="F5" s="57">
        <f>155497490</f>
        <v>155497490</v>
      </c>
      <c r="G5" s="58">
        <f>148883076</f>
        <v>148883076</v>
      </c>
      <c r="H5" s="59">
        <f>164390714</f>
        <v>164390714</v>
      </c>
      <c r="I5" s="59">
        <f>170144389</f>
        <v>170144389</v>
      </c>
      <c r="J5" s="59">
        <f>176099443</f>
        <v>176099443</v>
      </c>
      <c r="K5" s="59">
        <f>182262923</f>
        <v>182262923</v>
      </c>
      <c r="L5" s="59">
        <f>188459862</f>
        <v>188459862</v>
      </c>
      <c r="M5" s="59">
        <f>194679037</f>
        <v>194679037</v>
      </c>
      <c r="N5" s="59">
        <f>200714087</f>
        <v>200714087</v>
      </c>
      <c r="O5" s="59">
        <f>206534796</f>
        <v>206534796</v>
      </c>
      <c r="P5" s="59">
        <f>212317770</f>
        <v>212317770</v>
      </c>
      <c r="Q5" s="59">
        <f>218050350</f>
        <v>218050350</v>
      </c>
      <c r="R5" s="59">
        <f>223719659</f>
        <v>223719659</v>
      </c>
      <c r="S5" s="59">
        <f>229312651</f>
        <v>229312651</v>
      </c>
      <c r="T5" s="59">
        <f>235045468</f>
        <v>235045468</v>
      </c>
    </row>
    <row r="6" spans="1:20" ht="30" customHeight="1">
      <c r="A6" s="53" t="s">
        <v>102</v>
      </c>
      <c r="B6" s="60" t="s">
        <v>103</v>
      </c>
      <c r="C6" s="55">
        <f>54400021</f>
        <v>54400021</v>
      </c>
      <c r="D6" s="56">
        <f>53407050</f>
        <v>53407050</v>
      </c>
      <c r="E6" s="56">
        <f>57985888</f>
        <v>57985888</v>
      </c>
      <c r="F6" s="57">
        <f>57985888</f>
        <v>57985888</v>
      </c>
      <c r="G6" s="58">
        <f>52301317</f>
        <v>52301317</v>
      </c>
      <c r="H6" s="59">
        <f>64236466</f>
        <v>64236466</v>
      </c>
      <c r="I6" s="59">
        <f>66484742</f>
        <v>66484742</v>
      </c>
      <c r="J6" s="59">
        <f>68811708</f>
        <v>68811708</v>
      </c>
      <c r="K6" s="59">
        <f>71220118</f>
        <v>71220118</v>
      </c>
      <c r="L6" s="59">
        <f>73641602</f>
        <v>73641602</v>
      </c>
      <c r="M6" s="59">
        <f>76071775</f>
        <v>76071775</v>
      </c>
      <c r="N6" s="59">
        <f>78430000</f>
        <v>78430000</v>
      </c>
      <c r="O6" s="59">
        <f>80704470</f>
        <v>80704470</v>
      </c>
      <c r="P6" s="59">
        <f>82964195</f>
        <v>82964195</v>
      </c>
      <c r="Q6" s="59">
        <f>85204228</f>
        <v>85204228</v>
      </c>
      <c r="R6" s="59">
        <f>87419538</f>
        <v>87419538</v>
      </c>
      <c r="S6" s="59">
        <f>89605026</f>
        <v>89605026</v>
      </c>
      <c r="T6" s="59">
        <f>91845152</f>
        <v>91845152</v>
      </c>
    </row>
    <row r="7" spans="1:20" ht="30" customHeight="1">
      <c r="A7" s="53" t="s">
        <v>104</v>
      </c>
      <c r="B7" s="60" t="s">
        <v>105</v>
      </c>
      <c r="C7" s="55">
        <f>883588.42</f>
        <v>883588.42</v>
      </c>
      <c r="D7" s="56">
        <f>1154147.6</f>
        <v>1154147.6000000001</v>
      </c>
      <c r="E7" s="56">
        <f>1350000</f>
        <v>1350000</v>
      </c>
      <c r="F7" s="57">
        <f>1450000</f>
        <v>1450000</v>
      </c>
      <c r="G7" s="58">
        <f>1417288</f>
        <v>1417288</v>
      </c>
      <c r="H7" s="59">
        <f>1469728</f>
        <v>1469728</v>
      </c>
      <c r="I7" s="59">
        <f>1521168</f>
        <v>1521168</v>
      </c>
      <c r="J7" s="59">
        <f>1574409</f>
        <v>1574409</v>
      </c>
      <c r="K7" s="59">
        <f>1629513</f>
        <v>1629513</v>
      </c>
      <c r="L7" s="59">
        <f>1684916</f>
        <v>1684916</v>
      </c>
      <c r="M7" s="59">
        <f>1740518</f>
        <v>1740518</v>
      </c>
      <c r="N7" s="59">
        <f>1794474</f>
        <v>1794474</v>
      </c>
      <c r="O7" s="59">
        <f>1846514</f>
        <v>1846514</v>
      </c>
      <c r="P7" s="59">
        <f>1898216</f>
        <v>1898216</v>
      </c>
      <c r="Q7" s="59">
        <f>1949468</f>
        <v>1949468</v>
      </c>
      <c r="R7" s="59">
        <f>2000154</f>
        <v>2000154</v>
      </c>
      <c r="S7" s="59">
        <f>2050158</f>
        <v>2050158</v>
      </c>
      <c r="T7" s="59">
        <f>2101412</f>
        <v>2101412</v>
      </c>
    </row>
    <row r="8" spans="1:20" ht="18" customHeight="1">
      <c r="A8" s="53" t="s">
        <v>106</v>
      </c>
      <c r="B8" s="60" t="s">
        <v>107</v>
      </c>
      <c r="C8" s="55">
        <f>53406551</f>
        <v>53406551</v>
      </c>
      <c r="D8" s="56">
        <f>60651074</f>
        <v>60651074</v>
      </c>
      <c r="E8" s="56">
        <f>61845864</f>
        <v>61845864</v>
      </c>
      <c r="F8" s="57">
        <f>61845864</f>
        <v>61845864</v>
      </c>
      <c r="G8" s="58">
        <f>62455648</f>
        <v>62455648</v>
      </c>
      <c r="H8" s="59">
        <f>64766507</f>
        <v>64766507</v>
      </c>
      <c r="I8" s="59">
        <f>67033335</f>
        <v>67033335</v>
      </c>
      <c r="J8" s="59">
        <f>69379502</f>
        <v>69379502</v>
      </c>
      <c r="K8" s="59">
        <f>71807785</f>
        <v>71807785</v>
      </c>
      <c r="L8" s="59">
        <f>74249250</f>
        <v>74249250</v>
      </c>
      <c r="M8" s="59">
        <f>76699475</f>
        <v>76699475</v>
      </c>
      <c r="N8" s="59">
        <f>79077159</f>
        <v>79077159</v>
      </c>
      <c r="O8" s="59">
        <f>81370397</f>
        <v>81370397</v>
      </c>
      <c r="P8" s="59">
        <f>83648768</f>
        <v>83648768</v>
      </c>
      <c r="Q8" s="59">
        <f>85907285</f>
        <v>85907285</v>
      </c>
      <c r="R8" s="59">
        <f>88140874</f>
        <v>88140874</v>
      </c>
      <c r="S8" s="59">
        <f>90344396</f>
        <v>90344396</v>
      </c>
      <c r="T8" s="59">
        <f>92603006</f>
        <v>92603006</v>
      </c>
    </row>
    <row r="9" spans="1:20" ht="28.5" customHeight="1">
      <c r="A9" s="53" t="s">
        <v>108</v>
      </c>
      <c r="B9" s="60" t="s">
        <v>109</v>
      </c>
      <c r="C9" s="55">
        <f>20211589.81</f>
        <v>20211589.809999999</v>
      </c>
      <c r="D9" s="56">
        <f>21136871.3</f>
        <v>21136871.300000001</v>
      </c>
      <c r="E9" s="56">
        <f>20846418</f>
        <v>20846418</v>
      </c>
      <c r="F9" s="57">
        <f>21523874</f>
        <v>21523874</v>
      </c>
      <c r="G9" s="58">
        <f>18770376</f>
        <v>18770376</v>
      </c>
      <c r="H9" s="59">
        <f>19463843</f>
        <v>19463843</v>
      </c>
      <c r="I9" s="59">
        <f>20145078</f>
        <v>20145078</v>
      </c>
      <c r="J9" s="59">
        <f>20850156</f>
        <v>20850156</v>
      </c>
      <c r="K9" s="59">
        <f>21579911</f>
        <v>21579911</v>
      </c>
      <c r="L9" s="59">
        <f>22313628</f>
        <v>22313628</v>
      </c>
      <c r="M9" s="59">
        <f>23049978</f>
        <v>23049978</v>
      </c>
      <c r="N9" s="59">
        <f>23764527</f>
        <v>23764527</v>
      </c>
      <c r="O9" s="59">
        <f>24453698</f>
        <v>24453698</v>
      </c>
      <c r="P9" s="59">
        <f>25138402</f>
        <v>25138402</v>
      </c>
      <c r="Q9" s="59">
        <f>25817139</f>
        <v>25817139</v>
      </c>
      <c r="R9" s="59">
        <f>26488385</f>
        <v>26488385</v>
      </c>
      <c r="S9" s="59">
        <f>27150595</f>
        <v>27150595</v>
      </c>
      <c r="T9" s="59">
        <f>27829360</f>
        <v>27829360</v>
      </c>
    </row>
    <row r="10" spans="1:20" ht="18" customHeight="1">
      <c r="A10" s="53" t="s">
        <v>110</v>
      </c>
      <c r="B10" s="60" t="s">
        <v>111</v>
      </c>
      <c r="C10" s="55">
        <f>12438888.9</f>
        <v>12438888.9</v>
      </c>
      <c r="D10" s="56">
        <f>13456327.45</f>
        <v>13456327.449999999</v>
      </c>
      <c r="E10" s="56">
        <f>12655520</f>
        <v>12655520</v>
      </c>
      <c r="F10" s="57">
        <f>12691864</f>
        <v>12691864</v>
      </c>
      <c r="G10" s="58">
        <f>13938447</f>
        <v>13938447</v>
      </c>
      <c r="H10" s="59">
        <f>14454170</f>
        <v>14454170</v>
      </c>
      <c r="I10" s="59">
        <f>14960066</f>
        <v>14960066</v>
      </c>
      <c r="J10" s="59">
        <f>15483668</f>
        <v>15483668</v>
      </c>
      <c r="K10" s="59">
        <f>16025596</f>
        <v>16025596</v>
      </c>
      <c r="L10" s="59">
        <f>16570466</f>
        <v>16570466</v>
      </c>
      <c r="M10" s="59">
        <f>17117291</f>
        <v>17117291</v>
      </c>
      <c r="N10" s="59">
        <f>17647927</f>
        <v>17647927</v>
      </c>
      <c r="O10" s="59">
        <f>18159717</f>
        <v>18159717</v>
      </c>
      <c r="P10" s="59">
        <f>18668189</f>
        <v>18668189</v>
      </c>
      <c r="Q10" s="59">
        <f>19172230</f>
        <v>19172230</v>
      </c>
      <c r="R10" s="59">
        <f>19670708</f>
        <v>19670708</v>
      </c>
      <c r="S10" s="59">
        <f>20162476</f>
        <v>20162476</v>
      </c>
      <c r="T10" s="59">
        <f>20666538</f>
        <v>20666538</v>
      </c>
    </row>
    <row r="11" spans="1:20" ht="18" customHeight="1">
      <c r="A11" s="53" t="s">
        <v>112</v>
      </c>
      <c r="B11" s="61" t="s">
        <v>113</v>
      </c>
      <c r="C11" s="55">
        <f>0</f>
        <v>0</v>
      </c>
      <c r="D11" s="56">
        <f>0</f>
        <v>0</v>
      </c>
      <c r="E11" s="56">
        <f>0</f>
        <v>0</v>
      </c>
      <c r="F11" s="57">
        <f>0</f>
        <v>0</v>
      </c>
      <c r="G11" s="58">
        <f>0</f>
        <v>0</v>
      </c>
      <c r="H11" s="59">
        <f>0</f>
        <v>0</v>
      </c>
      <c r="I11" s="59">
        <f>0</f>
        <v>0</v>
      </c>
      <c r="J11" s="59">
        <f>0</f>
        <v>0</v>
      </c>
      <c r="K11" s="59">
        <f>0</f>
        <v>0</v>
      </c>
      <c r="L11" s="59">
        <f>0</f>
        <v>0</v>
      </c>
      <c r="M11" s="59">
        <f>0</f>
        <v>0</v>
      </c>
      <c r="N11" s="59">
        <f>0</f>
        <v>0</v>
      </c>
      <c r="O11" s="59">
        <f>0</f>
        <v>0</v>
      </c>
      <c r="P11" s="59">
        <f>0</f>
        <v>0</v>
      </c>
      <c r="Q11" s="59">
        <f>0</f>
        <v>0</v>
      </c>
      <c r="R11" s="59">
        <f>0</f>
        <v>0</v>
      </c>
      <c r="S11" s="59">
        <f>0</f>
        <v>0</v>
      </c>
      <c r="T11" s="59">
        <f>0</f>
        <v>0</v>
      </c>
    </row>
    <row r="12" spans="1:20" ht="18" customHeight="1">
      <c r="A12" s="53" t="s">
        <v>114</v>
      </c>
      <c r="B12" s="54" t="s">
        <v>115</v>
      </c>
      <c r="C12" s="55">
        <f>11975000.12</f>
        <v>11975000.119999999</v>
      </c>
      <c r="D12" s="56">
        <f>17960625.09</f>
        <v>17960625.09</v>
      </c>
      <c r="E12" s="56">
        <f>12388102</f>
        <v>12388102</v>
      </c>
      <c r="F12" s="57">
        <f>12090568</f>
        <v>12090568</v>
      </c>
      <c r="G12" s="58">
        <f>26345524</f>
        <v>26345524</v>
      </c>
      <c r="H12" s="59">
        <f>8000000</f>
        <v>8000000</v>
      </c>
      <c r="I12" s="59">
        <f>6500000</f>
        <v>6500000</v>
      </c>
      <c r="J12" s="59">
        <f>5500000</f>
        <v>5500000</v>
      </c>
      <c r="K12" s="59">
        <f>1000000</f>
        <v>1000000</v>
      </c>
      <c r="L12" s="59">
        <f>1000000</f>
        <v>1000000</v>
      </c>
      <c r="M12" s="59">
        <f>0</f>
        <v>0</v>
      </c>
      <c r="N12" s="59">
        <f>0</f>
        <v>0</v>
      </c>
      <c r="O12" s="59">
        <f>0</f>
        <v>0</v>
      </c>
      <c r="P12" s="59">
        <f>0</f>
        <v>0</v>
      </c>
      <c r="Q12" s="59">
        <f>0</f>
        <v>0</v>
      </c>
      <c r="R12" s="59">
        <f>0</f>
        <v>0</v>
      </c>
      <c r="S12" s="59">
        <f>0</f>
        <v>0</v>
      </c>
      <c r="T12" s="59">
        <f>0</f>
        <v>0</v>
      </c>
    </row>
    <row r="13" spans="1:20" ht="18" customHeight="1">
      <c r="A13" s="53" t="s">
        <v>116</v>
      </c>
      <c r="B13" s="60" t="s">
        <v>117</v>
      </c>
      <c r="C13" s="55">
        <f>3518035.41</f>
        <v>3518035.41</v>
      </c>
      <c r="D13" s="56">
        <f>1624711</f>
        <v>1624711</v>
      </c>
      <c r="E13" s="56">
        <f>3896195</f>
        <v>3896195</v>
      </c>
      <c r="F13" s="57">
        <f>3678661</f>
        <v>3678661</v>
      </c>
      <c r="G13" s="58">
        <f>3810000</f>
        <v>3810000</v>
      </c>
      <c r="H13" s="59">
        <f>2500000</f>
        <v>2500000</v>
      </c>
      <c r="I13" s="59">
        <f>1000000</f>
        <v>1000000</v>
      </c>
      <c r="J13" s="59">
        <f>500000</f>
        <v>500000</v>
      </c>
      <c r="K13" s="59">
        <f>0</f>
        <v>0</v>
      </c>
      <c r="L13" s="59">
        <f>0</f>
        <v>0</v>
      </c>
      <c r="M13" s="59">
        <f>0</f>
        <v>0</v>
      </c>
      <c r="N13" s="59">
        <f>0</f>
        <v>0</v>
      </c>
      <c r="O13" s="59">
        <f>0</f>
        <v>0</v>
      </c>
      <c r="P13" s="59">
        <f>0</f>
        <v>0</v>
      </c>
      <c r="Q13" s="59">
        <f>0</f>
        <v>0</v>
      </c>
      <c r="R13" s="59">
        <f>0</f>
        <v>0</v>
      </c>
      <c r="S13" s="59">
        <f>0</f>
        <v>0</v>
      </c>
      <c r="T13" s="59">
        <f>0</f>
        <v>0</v>
      </c>
    </row>
    <row r="14" spans="1:20" ht="33" customHeight="1">
      <c r="A14" s="53" t="s">
        <v>118</v>
      </c>
      <c r="B14" s="60" t="s">
        <v>119</v>
      </c>
      <c r="C14" s="55">
        <f>8431128.27</f>
        <v>8431128.2699999996</v>
      </c>
      <c r="D14" s="56">
        <f>16236160.09</f>
        <v>16236160.09</v>
      </c>
      <c r="E14" s="56">
        <f>7999500</f>
        <v>7999500</v>
      </c>
      <c r="F14" s="57">
        <f>7919500</f>
        <v>7919500</v>
      </c>
      <c r="G14" s="58">
        <f>22528524</f>
        <v>22528524</v>
      </c>
      <c r="H14" s="59">
        <f>5500000</f>
        <v>5500000</v>
      </c>
      <c r="I14" s="59">
        <f>5500000</f>
        <v>5500000</v>
      </c>
      <c r="J14" s="59">
        <f>5000000</f>
        <v>5000000</v>
      </c>
      <c r="K14" s="59">
        <f>1000000</f>
        <v>1000000</v>
      </c>
      <c r="L14" s="59">
        <f>1000000</f>
        <v>1000000</v>
      </c>
      <c r="M14" s="59">
        <f>0</f>
        <v>0</v>
      </c>
      <c r="N14" s="59">
        <f>0</f>
        <v>0</v>
      </c>
      <c r="O14" s="59">
        <f>0</f>
        <v>0</v>
      </c>
      <c r="P14" s="59">
        <f>0</f>
        <v>0</v>
      </c>
      <c r="Q14" s="59">
        <f>0</f>
        <v>0</v>
      </c>
      <c r="R14" s="59">
        <f>0</f>
        <v>0</v>
      </c>
      <c r="S14" s="59">
        <f>0</f>
        <v>0</v>
      </c>
      <c r="T14" s="59">
        <f>0</f>
        <v>0</v>
      </c>
    </row>
    <row r="15" spans="1:20" ht="18" customHeight="1">
      <c r="A15" s="62">
        <v>2</v>
      </c>
      <c r="B15" s="63" t="s">
        <v>120</v>
      </c>
      <c r="C15" s="64">
        <f>147895424.67</f>
        <v>147895424.66999999</v>
      </c>
      <c r="D15" s="65">
        <f>164103354.16</f>
        <v>164103354.16</v>
      </c>
      <c r="E15" s="65">
        <f>202848457</f>
        <v>202848457</v>
      </c>
      <c r="F15" s="66">
        <f>203446676</f>
        <v>203446676</v>
      </c>
      <c r="G15" s="67">
        <f>204563998</f>
        <v>204563998</v>
      </c>
      <c r="H15" s="68">
        <f>173398714</f>
        <v>173398714</v>
      </c>
      <c r="I15" s="68">
        <f>172152389</f>
        <v>172152389</v>
      </c>
      <c r="J15" s="68">
        <f>175707443</f>
        <v>175707443</v>
      </c>
      <c r="K15" s="68">
        <f>177462923</f>
        <v>177462923</v>
      </c>
      <c r="L15" s="68">
        <f>182459862</f>
        <v>182459862</v>
      </c>
      <c r="M15" s="68">
        <f>186879037</f>
        <v>186879037</v>
      </c>
      <c r="N15" s="68">
        <f>193414087</f>
        <v>193414087</v>
      </c>
      <c r="O15" s="68">
        <f>199534796</f>
        <v>199534796</v>
      </c>
      <c r="P15" s="68">
        <f>204417770</f>
        <v>204417770</v>
      </c>
      <c r="Q15" s="68">
        <f>211050350</f>
        <v>211050350</v>
      </c>
      <c r="R15" s="68">
        <f>216719659</f>
        <v>216719659</v>
      </c>
      <c r="S15" s="68">
        <f>222312651</f>
        <v>222312651</v>
      </c>
      <c r="T15" s="68">
        <f>230045468</f>
        <v>230045468</v>
      </c>
    </row>
    <row r="16" spans="1:20" ht="18" customHeight="1">
      <c r="A16" s="53" t="s">
        <v>121</v>
      </c>
      <c r="B16" s="54" t="s">
        <v>122</v>
      </c>
      <c r="C16" s="55">
        <f>127582243.88</f>
        <v>127582243.88</v>
      </c>
      <c r="D16" s="56">
        <f>133913968.16</f>
        <v>133913968.16</v>
      </c>
      <c r="E16" s="56">
        <f>154857745</f>
        <v>154857745</v>
      </c>
      <c r="F16" s="57">
        <f>155555068</f>
        <v>155555068</v>
      </c>
      <c r="G16" s="58">
        <f>158135016</f>
        <v>158135016</v>
      </c>
      <c r="H16" s="59">
        <f>160406247</f>
        <v>160406247</v>
      </c>
      <c r="I16" s="59">
        <f>162765937</f>
        <v>162765937</v>
      </c>
      <c r="J16" s="59">
        <f>165141172</f>
        <v>165141172</v>
      </c>
      <c r="K16" s="59">
        <f>167343636</f>
        <v>167343636</v>
      </c>
      <c r="L16" s="59">
        <f>169567128</f>
        <v>169567128</v>
      </c>
      <c r="M16" s="59">
        <f>173092972</f>
        <v>173092972</v>
      </c>
      <c r="N16" s="59">
        <f>176532301</f>
        <v>176532301</v>
      </c>
      <c r="O16" s="59">
        <f>179932081</f>
        <v>179932081</v>
      </c>
      <c r="P16" s="59">
        <f>183329739</f>
        <v>183329739</v>
      </c>
      <c r="Q16" s="59">
        <f>186766648</f>
        <v>186766648</v>
      </c>
      <c r="R16" s="59">
        <f>190195159</f>
        <v>190195159</v>
      </c>
      <c r="S16" s="59">
        <f>193622094</f>
        <v>193622094</v>
      </c>
      <c r="T16" s="59">
        <f>197134030</f>
        <v>197134030</v>
      </c>
    </row>
    <row r="17" spans="1:20" ht="18" customHeight="1">
      <c r="A17" s="53" t="s">
        <v>123</v>
      </c>
      <c r="B17" s="60" t="s">
        <v>124</v>
      </c>
      <c r="C17" s="55">
        <f>77428656.2</f>
        <v>77428656.200000003</v>
      </c>
      <c r="D17" s="56">
        <f>84625228.63</f>
        <v>84625228.629999995</v>
      </c>
      <c r="E17" s="56">
        <f>92724820</f>
        <v>92724820</v>
      </c>
      <c r="F17" s="57">
        <f>92602529</f>
        <v>92602529</v>
      </c>
      <c r="G17" s="58">
        <f>97150015</f>
        <v>97150015</v>
      </c>
      <c r="H17" s="59">
        <f>98801565</f>
        <v>98801565</v>
      </c>
      <c r="I17" s="59">
        <f>100481192</f>
        <v>100481192</v>
      </c>
      <c r="J17" s="59">
        <f>102239613</f>
        <v>102239613</v>
      </c>
      <c r="K17" s="59">
        <f>103824327</f>
        <v>103824327</v>
      </c>
      <c r="L17" s="59">
        <f>105433604</f>
        <v>105433604</v>
      </c>
      <c r="M17" s="59">
        <f>107067825</f>
        <v>107067825</v>
      </c>
      <c r="N17" s="59">
        <f>108673842</f>
        <v>108673842</v>
      </c>
      <c r="O17" s="59">
        <f>110303950</f>
        <v>110303950</v>
      </c>
      <c r="P17" s="59">
        <f>111958509</f>
        <v>111958509</v>
      </c>
      <c r="Q17" s="59">
        <f>113637887</f>
        <v>113637887</v>
      </c>
      <c r="R17" s="59">
        <f>115285636</f>
        <v>115285636</v>
      </c>
      <c r="S17" s="59">
        <f>116957278</f>
        <v>116957278</v>
      </c>
      <c r="T17" s="59">
        <f>118653159</f>
        <v>118653159</v>
      </c>
    </row>
    <row r="18" spans="1:20" ht="18" customHeight="1">
      <c r="A18" s="53" t="s">
        <v>125</v>
      </c>
      <c r="B18" s="60" t="s">
        <v>126</v>
      </c>
      <c r="C18" s="55">
        <f>2822280</f>
        <v>2822280</v>
      </c>
      <c r="D18" s="56">
        <f>162216</f>
        <v>162216</v>
      </c>
      <c r="E18" s="56">
        <f>2700000</f>
        <v>2700000</v>
      </c>
      <c r="F18" s="57">
        <f>2700000</f>
        <v>2700000</v>
      </c>
      <c r="G18" s="58">
        <f>0</f>
        <v>0</v>
      </c>
      <c r="H18" s="59">
        <f>0</f>
        <v>0</v>
      </c>
      <c r="I18" s="59">
        <f>0</f>
        <v>0</v>
      </c>
      <c r="J18" s="59">
        <f>0</f>
        <v>0</v>
      </c>
      <c r="K18" s="59">
        <f>0</f>
        <v>0</v>
      </c>
      <c r="L18" s="59">
        <f>0</f>
        <v>0</v>
      </c>
      <c r="M18" s="59">
        <f>0</f>
        <v>0</v>
      </c>
      <c r="N18" s="59">
        <f>0</f>
        <v>0</v>
      </c>
      <c r="O18" s="59">
        <f>0</f>
        <v>0</v>
      </c>
      <c r="P18" s="59">
        <f>0</f>
        <v>0</v>
      </c>
      <c r="Q18" s="59">
        <f>0</f>
        <v>0</v>
      </c>
      <c r="R18" s="59">
        <f>0</f>
        <v>0</v>
      </c>
      <c r="S18" s="59">
        <f>0</f>
        <v>0</v>
      </c>
      <c r="T18" s="59">
        <f>0</f>
        <v>0</v>
      </c>
    </row>
    <row r="19" spans="1:20" ht="44.25" customHeight="1">
      <c r="A19" s="53" t="s">
        <v>127</v>
      </c>
      <c r="B19" s="61" t="s">
        <v>128</v>
      </c>
      <c r="C19" s="55">
        <f>0</f>
        <v>0</v>
      </c>
      <c r="D19" s="56">
        <f>0</f>
        <v>0</v>
      </c>
      <c r="E19" s="56">
        <f>0</f>
        <v>0</v>
      </c>
      <c r="F19" s="57">
        <f>0</f>
        <v>0</v>
      </c>
      <c r="G19" s="58">
        <f>0</f>
        <v>0</v>
      </c>
      <c r="H19" s="59">
        <f>0</f>
        <v>0</v>
      </c>
      <c r="I19" s="59">
        <f>0</f>
        <v>0</v>
      </c>
      <c r="J19" s="59">
        <f>0</f>
        <v>0</v>
      </c>
      <c r="K19" s="59">
        <f>0</f>
        <v>0</v>
      </c>
      <c r="L19" s="59">
        <f>0</f>
        <v>0</v>
      </c>
      <c r="M19" s="59">
        <f>0</f>
        <v>0</v>
      </c>
      <c r="N19" s="59">
        <f>0</f>
        <v>0</v>
      </c>
      <c r="O19" s="59">
        <f>0</f>
        <v>0</v>
      </c>
      <c r="P19" s="59">
        <f>0</f>
        <v>0</v>
      </c>
      <c r="Q19" s="59">
        <f>0</f>
        <v>0</v>
      </c>
      <c r="R19" s="59">
        <f>0</f>
        <v>0</v>
      </c>
      <c r="S19" s="59">
        <f>0</f>
        <v>0</v>
      </c>
      <c r="T19" s="59">
        <f>0</f>
        <v>0</v>
      </c>
    </row>
    <row r="20" spans="1:20" ht="18" customHeight="1">
      <c r="A20" s="53" t="s">
        <v>129</v>
      </c>
      <c r="B20" s="60" t="s">
        <v>130</v>
      </c>
      <c r="C20" s="55">
        <f>1178256.98</f>
        <v>1178256.98</v>
      </c>
      <c r="D20" s="56">
        <f>819018.48</f>
        <v>819018.48</v>
      </c>
      <c r="E20" s="56">
        <f>1249341</f>
        <v>1249341</v>
      </c>
      <c r="F20" s="57">
        <f>1249341</f>
        <v>1249341</v>
      </c>
      <c r="G20" s="58">
        <f>1200000</f>
        <v>1200000</v>
      </c>
      <c r="H20" s="59">
        <f>1819681</f>
        <v>1819681</v>
      </c>
      <c r="I20" s="59">
        <f>1692646</f>
        <v>1692646</v>
      </c>
      <c r="J20" s="59">
        <f>1552059</f>
        <v>1552059</v>
      </c>
      <c r="K20" s="59">
        <f>1402940</f>
        <v>1402940</v>
      </c>
      <c r="L20" s="59">
        <f>1240700</f>
        <v>1240700</v>
      </c>
      <c r="M20" s="59">
        <f>1056860</f>
        <v>1056860</v>
      </c>
      <c r="N20" s="59">
        <f>876155</f>
        <v>876155</v>
      </c>
      <c r="O20" s="59">
        <f>703340</f>
        <v>703340</v>
      </c>
      <c r="P20" s="59">
        <f>516545</f>
        <v>516545</v>
      </c>
      <c r="Q20" s="59">
        <f>361000</f>
        <v>361000</v>
      </c>
      <c r="R20" s="59">
        <f>249800</f>
        <v>249800</v>
      </c>
      <c r="S20" s="59">
        <f>138600</f>
        <v>138600</v>
      </c>
      <c r="T20" s="59">
        <f>41500</f>
        <v>41500</v>
      </c>
    </row>
    <row r="21" spans="1:20" ht="92.25" customHeight="1">
      <c r="A21" s="53" t="s">
        <v>131</v>
      </c>
      <c r="B21" s="61" t="s">
        <v>132</v>
      </c>
      <c r="C21" s="55">
        <f>0</f>
        <v>0</v>
      </c>
      <c r="D21" s="56">
        <f>0</f>
        <v>0</v>
      </c>
      <c r="E21" s="56">
        <f>0</f>
        <v>0</v>
      </c>
      <c r="F21" s="57">
        <f>0</f>
        <v>0</v>
      </c>
      <c r="G21" s="58">
        <f>0</f>
        <v>0</v>
      </c>
      <c r="H21" s="59">
        <f>0</f>
        <v>0</v>
      </c>
      <c r="I21" s="59">
        <f>0</f>
        <v>0</v>
      </c>
      <c r="J21" s="59">
        <f>0</f>
        <v>0</v>
      </c>
      <c r="K21" s="59">
        <f>0</f>
        <v>0</v>
      </c>
      <c r="L21" s="59">
        <f>0</f>
        <v>0</v>
      </c>
      <c r="M21" s="59">
        <f>0</f>
        <v>0</v>
      </c>
      <c r="N21" s="59">
        <f>0</f>
        <v>0</v>
      </c>
      <c r="O21" s="59">
        <f>0</f>
        <v>0</v>
      </c>
      <c r="P21" s="59">
        <f>0</f>
        <v>0</v>
      </c>
      <c r="Q21" s="59">
        <f>0</f>
        <v>0</v>
      </c>
      <c r="R21" s="59">
        <f>0</f>
        <v>0</v>
      </c>
      <c r="S21" s="59">
        <f>0</f>
        <v>0</v>
      </c>
      <c r="T21" s="59">
        <f>0</f>
        <v>0</v>
      </c>
    </row>
    <row r="22" spans="1:20" ht="57" customHeight="1">
      <c r="A22" s="53" t="s">
        <v>133</v>
      </c>
      <c r="B22" s="61" t="s">
        <v>134</v>
      </c>
      <c r="C22" s="55">
        <f>0</f>
        <v>0</v>
      </c>
      <c r="D22" s="56">
        <f>0</f>
        <v>0</v>
      </c>
      <c r="E22" s="56">
        <f>0</f>
        <v>0</v>
      </c>
      <c r="F22" s="57">
        <f>0</f>
        <v>0</v>
      </c>
      <c r="G22" s="58">
        <f>0</f>
        <v>0</v>
      </c>
      <c r="H22" s="59">
        <f>0</f>
        <v>0</v>
      </c>
      <c r="I22" s="59">
        <f>0</f>
        <v>0</v>
      </c>
      <c r="J22" s="59">
        <f>0</f>
        <v>0</v>
      </c>
      <c r="K22" s="59">
        <f>0</f>
        <v>0</v>
      </c>
      <c r="L22" s="59">
        <f>0</f>
        <v>0</v>
      </c>
      <c r="M22" s="59">
        <f>0</f>
        <v>0</v>
      </c>
      <c r="N22" s="59">
        <f>0</f>
        <v>0</v>
      </c>
      <c r="O22" s="59">
        <f>0</f>
        <v>0</v>
      </c>
      <c r="P22" s="59">
        <f>0</f>
        <v>0</v>
      </c>
      <c r="Q22" s="59">
        <f>0</f>
        <v>0</v>
      </c>
      <c r="R22" s="59">
        <f>0</f>
        <v>0</v>
      </c>
      <c r="S22" s="59">
        <f>0</f>
        <v>0</v>
      </c>
      <c r="T22" s="59">
        <f>0</f>
        <v>0</v>
      </c>
    </row>
    <row r="23" spans="1:20" ht="45.75" customHeight="1">
      <c r="A23" s="53" t="s">
        <v>135</v>
      </c>
      <c r="B23" s="61" t="s">
        <v>136</v>
      </c>
      <c r="C23" s="55">
        <f>0</f>
        <v>0</v>
      </c>
      <c r="D23" s="56">
        <f>0</f>
        <v>0</v>
      </c>
      <c r="E23" s="56">
        <f>16332</f>
        <v>16332</v>
      </c>
      <c r="F23" s="57">
        <f>16332</f>
        <v>16332</v>
      </c>
      <c r="G23" s="58">
        <f>16332</f>
        <v>16332</v>
      </c>
      <c r="H23" s="59">
        <f>16332</f>
        <v>16332</v>
      </c>
      <c r="I23" s="59">
        <f>16332</f>
        <v>16332</v>
      </c>
      <c r="J23" s="59">
        <f>16332</f>
        <v>16332</v>
      </c>
      <c r="K23" s="59">
        <f>16332</f>
        <v>16332</v>
      </c>
      <c r="L23" s="59">
        <f>8915</f>
        <v>8915</v>
      </c>
      <c r="M23" s="59">
        <f>7486</f>
        <v>7486</v>
      </c>
      <c r="N23" s="59">
        <f>0</f>
        <v>0</v>
      </c>
      <c r="O23" s="59">
        <f>0</f>
        <v>0</v>
      </c>
      <c r="P23" s="59">
        <f>0</f>
        <v>0</v>
      </c>
      <c r="Q23" s="59">
        <f>0</f>
        <v>0</v>
      </c>
      <c r="R23" s="59">
        <f>0</f>
        <v>0</v>
      </c>
      <c r="S23" s="59">
        <f>0</f>
        <v>0</v>
      </c>
      <c r="T23" s="59">
        <f>0</f>
        <v>0</v>
      </c>
    </row>
    <row r="24" spans="1:20" ht="18" customHeight="1">
      <c r="A24" s="53" t="s">
        <v>137</v>
      </c>
      <c r="B24" s="54" t="s">
        <v>138</v>
      </c>
      <c r="C24" s="55">
        <f>20313180.79</f>
        <v>20313180.789999999</v>
      </c>
      <c r="D24" s="56">
        <f>30189386</f>
        <v>30189386</v>
      </c>
      <c r="E24" s="56">
        <f>47990712</f>
        <v>47990712</v>
      </c>
      <c r="F24" s="57">
        <f>47891608</f>
        <v>47891608</v>
      </c>
      <c r="G24" s="58">
        <f>46428982</f>
        <v>46428982</v>
      </c>
      <c r="H24" s="59">
        <f>12992467</f>
        <v>12992467</v>
      </c>
      <c r="I24" s="59">
        <f>9386452</f>
        <v>9386452</v>
      </c>
      <c r="J24" s="59">
        <f>10566271</f>
        <v>10566271</v>
      </c>
      <c r="K24" s="59">
        <f>10119287</f>
        <v>10119287</v>
      </c>
      <c r="L24" s="59">
        <f>12892734</f>
        <v>12892734</v>
      </c>
      <c r="M24" s="59">
        <f>13786065</f>
        <v>13786065</v>
      </c>
      <c r="N24" s="59">
        <f>16881786</f>
        <v>16881786</v>
      </c>
      <c r="O24" s="59">
        <f>19602715</f>
        <v>19602715</v>
      </c>
      <c r="P24" s="59">
        <f>21088031</f>
        <v>21088031</v>
      </c>
      <c r="Q24" s="59">
        <f>24283702</f>
        <v>24283702</v>
      </c>
      <c r="R24" s="59">
        <f>26524500</f>
        <v>26524500</v>
      </c>
      <c r="S24" s="59">
        <f>28690557</f>
        <v>28690557</v>
      </c>
      <c r="T24" s="59">
        <f>32911438</f>
        <v>32911438</v>
      </c>
    </row>
    <row r="25" spans="1:20" ht="33" customHeight="1">
      <c r="A25" s="53" t="s">
        <v>139</v>
      </c>
      <c r="B25" s="60" t="s">
        <v>140</v>
      </c>
      <c r="C25" s="55">
        <f>16254730.79</f>
        <v>16254730.789999999</v>
      </c>
      <c r="D25" s="56">
        <f>15868486</f>
        <v>15868486</v>
      </c>
      <c r="E25" s="56">
        <f>27931112</f>
        <v>27931112</v>
      </c>
      <c r="F25" s="57">
        <f>27832008</f>
        <v>27832008</v>
      </c>
      <c r="G25" s="58">
        <f>45033082</f>
        <v>45033082</v>
      </c>
      <c r="H25" s="59">
        <f>12992467</f>
        <v>12992467</v>
      </c>
      <c r="I25" s="59">
        <f>9386451</f>
        <v>9386451</v>
      </c>
      <c r="J25" s="59">
        <f>10566271</f>
        <v>10566271</v>
      </c>
      <c r="K25" s="59">
        <f>10119287</f>
        <v>10119287</v>
      </c>
      <c r="L25" s="59">
        <f>12892734</f>
        <v>12892734</v>
      </c>
      <c r="M25" s="59">
        <f>13786065</f>
        <v>13786065</v>
      </c>
      <c r="N25" s="59">
        <f>16881786</f>
        <v>16881786</v>
      </c>
      <c r="O25" s="59">
        <f>19602715</f>
        <v>19602715</v>
      </c>
      <c r="P25" s="59">
        <f>21088031</f>
        <v>21088031</v>
      </c>
      <c r="Q25" s="59">
        <f>24283702</f>
        <v>24283702</v>
      </c>
      <c r="R25" s="59">
        <f>26524500</f>
        <v>26524500</v>
      </c>
      <c r="S25" s="59">
        <f>28690557</f>
        <v>28690557</v>
      </c>
      <c r="T25" s="59">
        <f>32911438</f>
        <v>32911438</v>
      </c>
    </row>
    <row r="26" spans="1:20" ht="33" customHeight="1">
      <c r="A26" s="53" t="s">
        <v>141</v>
      </c>
      <c r="B26" s="61" t="s">
        <v>142</v>
      </c>
      <c r="C26" s="55">
        <f>152703.67</f>
        <v>152703.67000000001</v>
      </c>
      <c r="D26" s="56">
        <f>527000</f>
        <v>527000</v>
      </c>
      <c r="E26" s="56">
        <f>6239797</f>
        <v>6239797</v>
      </c>
      <c r="F26" s="57">
        <f>6158607</f>
        <v>6158607</v>
      </c>
      <c r="G26" s="58">
        <f>6043618</f>
        <v>6043618</v>
      </c>
      <c r="H26" s="59">
        <f>0</f>
        <v>0</v>
      </c>
      <c r="I26" s="59">
        <f>0</f>
        <v>0</v>
      </c>
      <c r="J26" s="59">
        <f>0</f>
        <v>0</v>
      </c>
      <c r="K26" s="59">
        <f>0</f>
        <v>0</v>
      </c>
      <c r="L26" s="59">
        <f>0</f>
        <v>0</v>
      </c>
      <c r="M26" s="59">
        <f>0</f>
        <v>0</v>
      </c>
      <c r="N26" s="59">
        <f>0</f>
        <v>0</v>
      </c>
      <c r="O26" s="59">
        <f>0</f>
        <v>0</v>
      </c>
      <c r="P26" s="59">
        <f>0</f>
        <v>0</v>
      </c>
      <c r="Q26" s="59">
        <f>0</f>
        <v>0</v>
      </c>
      <c r="R26" s="59">
        <f>0</f>
        <v>0</v>
      </c>
      <c r="S26" s="59">
        <f>0</f>
        <v>0</v>
      </c>
      <c r="T26" s="59">
        <f>0</f>
        <v>0</v>
      </c>
    </row>
    <row r="27" spans="1:20" ht="18" customHeight="1">
      <c r="A27" s="62">
        <v>3</v>
      </c>
      <c r="B27" s="63" t="s">
        <v>143</v>
      </c>
      <c r="C27" s="64">
        <f>5420214.58</f>
        <v>5420214.5800000001</v>
      </c>
      <c r="D27" s="65">
        <f>3662741.28</f>
        <v>3662741.28</v>
      </c>
      <c r="E27" s="65">
        <f>-35776665</f>
        <v>-35776665</v>
      </c>
      <c r="F27" s="66">
        <f>-35858618</f>
        <v>-35858618</v>
      </c>
      <c r="G27" s="67">
        <f>-29335398</f>
        <v>-29335398</v>
      </c>
      <c r="H27" s="68">
        <f>-1008000</f>
        <v>-1008000</v>
      </c>
      <c r="I27" s="68">
        <f>4492000</f>
        <v>4492000</v>
      </c>
      <c r="J27" s="68">
        <f>5892000</f>
        <v>5892000</v>
      </c>
      <c r="K27" s="68">
        <f>5800000</f>
        <v>5800000</v>
      </c>
      <c r="L27" s="68">
        <f>7000000</f>
        <v>7000000</v>
      </c>
      <c r="M27" s="68">
        <f>7800000</f>
        <v>7800000</v>
      </c>
      <c r="N27" s="68">
        <f>7300000</f>
        <v>7300000</v>
      </c>
      <c r="O27" s="68">
        <f>7000000</f>
        <v>7000000</v>
      </c>
      <c r="P27" s="68">
        <f>7900000</f>
        <v>7900000</v>
      </c>
      <c r="Q27" s="68">
        <f>7000000</f>
        <v>7000000</v>
      </c>
      <c r="R27" s="68">
        <f>7000000</f>
        <v>7000000</v>
      </c>
      <c r="S27" s="68">
        <f>7000000</f>
        <v>7000000</v>
      </c>
      <c r="T27" s="68">
        <f>5000000</f>
        <v>5000000</v>
      </c>
    </row>
    <row r="28" spans="1:20" ht="43.5" customHeight="1">
      <c r="A28" s="53" t="s">
        <v>144</v>
      </c>
      <c r="B28" s="54" t="s">
        <v>145</v>
      </c>
      <c r="C28" s="55">
        <f>5420214.58</f>
        <v>5420214.5800000001</v>
      </c>
      <c r="D28" s="56">
        <f>3662741.28</f>
        <v>3662741.28</v>
      </c>
      <c r="E28" s="56">
        <f>0</f>
        <v>0</v>
      </c>
      <c r="F28" s="57">
        <f>0</f>
        <v>0</v>
      </c>
      <c r="G28" s="58">
        <f>0</f>
        <v>0</v>
      </c>
      <c r="H28" s="59">
        <f>0</f>
        <v>0</v>
      </c>
      <c r="I28" s="59">
        <f>4492000</f>
        <v>4492000</v>
      </c>
      <c r="J28" s="59">
        <f>5892000</f>
        <v>5892000</v>
      </c>
      <c r="K28" s="59">
        <f>5800000</f>
        <v>5800000</v>
      </c>
      <c r="L28" s="59">
        <f>7000000</f>
        <v>7000000</v>
      </c>
      <c r="M28" s="59">
        <f>7800000</f>
        <v>7800000</v>
      </c>
      <c r="N28" s="59">
        <f>7300000</f>
        <v>7300000</v>
      </c>
      <c r="O28" s="59">
        <f>7000000</f>
        <v>7000000</v>
      </c>
      <c r="P28" s="59">
        <f>7900000</f>
        <v>7900000</v>
      </c>
      <c r="Q28" s="59">
        <f>7000000</f>
        <v>7000000</v>
      </c>
      <c r="R28" s="59">
        <f>7000000</f>
        <v>7000000</v>
      </c>
      <c r="S28" s="59">
        <f>7000000</f>
        <v>7000000</v>
      </c>
      <c r="T28" s="59">
        <f>5000000</f>
        <v>5000000</v>
      </c>
    </row>
    <row r="29" spans="1:20" ht="17.25" customHeight="1">
      <c r="A29" s="62">
        <v>4</v>
      </c>
      <c r="B29" s="63" t="s">
        <v>146</v>
      </c>
      <c r="C29" s="64">
        <f>12707557.72</f>
        <v>12707557.720000001</v>
      </c>
      <c r="D29" s="65">
        <f>20339502.3</f>
        <v>20339502.300000001</v>
      </c>
      <c r="E29" s="65">
        <f>40318665</f>
        <v>40318665</v>
      </c>
      <c r="F29" s="66">
        <f>40400618</f>
        <v>40400618</v>
      </c>
      <c r="G29" s="67">
        <f>34170398</f>
        <v>34170398</v>
      </c>
      <c r="H29" s="68">
        <f>5350000</f>
        <v>5350000</v>
      </c>
      <c r="I29" s="68">
        <f>0</f>
        <v>0</v>
      </c>
      <c r="J29" s="68">
        <f>0</f>
        <v>0</v>
      </c>
      <c r="K29" s="68">
        <f>0</f>
        <v>0</v>
      </c>
      <c r="L29" s="68">
        <f>0</f>
        <v>0</v>
      </c>
      <c r="M29" s="68">
        <f>0</f>
        <v>0</v>
      </c>
      <c r="N29" s="68">
        <f>0</f>
        <v>0</v>
      </c>
      <c r="O29" s="68">
        <f>0</f>
        <v>0</v>
      </c>
      <c r="P29" s="68">
        <f>0</f>
        <v>0</v>
      </c>
      <c r="Q29" s="68">
        <f>0</f>
        <v>0</v>
      </c>
      <c r="R29" s="68">
        <f>0</f>
        <v>0</v>
      </c>
      <c r="S29" s="68">
        <f>0</f>
        <v>0</v>
      </c>
      <c r="T29" s="68">
        <f>0</f>
        <v>0</v>
      </c>
    </row>
    <row r="30" spans="1:20" ht="29.25" customHeight="1">
      <c r="A30" s="53" t="s">
        <v>147</v>
      </c>
      <c r="B30" s="54" t="s">
        <v>148</v>
      </c>
      <c r="C30" s="55">
        <f>7790000</f>
        <v>7790000</v>
      </c>
      <c r="D30" s="56">
        <f>8000000</f>
        <v>8000000</v>
      </c>
      <c r="E30" s="56">
        <f>29993000</f>
        <v>29993000</v>
      </c>
      <c r="F30" s="57">
        <f>29993000</f>
        <v>29993000</v>
      </c>
      <c r="G30" s="58">
        <f>10000000</f>
        <v>10000000</v>
      </c>
      <c r="H30" s="59">
        <f>0</f>
        <v>0</v>
      </c>
      <c r="I30" s="59">
        <f>0</f>
        <v>0</v>
      </c>
      <c r="J30" s="59">
        <f>0</f>
        <v>0</v>
      </c>
      <c r="K30" s="59">
        <f>0</f>
        <v>0</v>
      </c>
      <c r="L30" s="59">
        <f>0</f>
        <v>0</v>
      </c>
      <c r="M30" s="59">
        <f>0</f>
        <v>0</v>
      </c>
      <c r="N30" s="59">
        <f>0</f>
        <v>0</v>
      </c>
      <c r="O30" s="59">
        <f>0</f>
        <v>0</v>
      </c>
      <c r="P30" s="59">
        <f>0</f>
        <v>0</v>
      </c>
      <c r="Q30" s="59">
        <f>0</f>
        <v>0</v>
      </c>
      <c r="R30" s="59">
        <f>0</f>
        <v>0</v>
      </c>
      <c r="S30" s="59">
        <f>0</f>
        <v>0</v>
      </c>
      <c r="T30" s="59">
        <f>0</f>
        <v>0</v>
      </c>
    </row>
    <row r="31" spans="1:20" ht="18" customHeight="1">
      <c r="A31" s="53" t="s">
        <v>149</v>
      </c>
      <c r="B31" s="60" t="s">
        <v>150</v>
      </c>
      <c r="C31" s="55">
        <f>0</f>
        <v>0</v>
      </c>
      <c r="D31" s="56">
        <f>0</f>
        <v>0</v>
      </c>
      <c r="E31" s="56">
        <f>0</f>
        <v>0</v>
      </c>
      <c r="F31" s="57">
        <f>25788000</f>
        <v>25788000</v>
      </c>
      <c r="G31" s="58">
        <f>5165000</f>
        <v>5165000</v>
      </c>
      <c r="H31" s="59">
        <f>0</f>
        <v>0</v>
      </c>
      <c r="I31" s="59">
        <f>0</f>
        <v>0</v>
      </c>
      <c r="J31" s="59">
        <f>0</f>
        <v>0</v>
      </c>
      <c r="K31" s="59">
        <f>0</f>
        <v>0</v>
      </c>
      <c r="L31" s="59">
        <f>0</f>
        <v>0</v>
      </c>
      <c r="M31" s="59">
        <f>0</f>
        <v>0</v>
      </c>
      <c r="N31" s="59">
        <f>0</f>
        <v>0</v>
      </c>
      <c r="O31" s="59">
        <f>0</f>
        <v>0</v>
      </c>
      <c r="P31" s="59">
        <f>0</f>
        <v>0</v>
      </c>
      <c r="Q31" s="59">
        <f>0</f>
        <v>0</v>
      </c>
      <c r="R31" s="59">
        <f>0</f>
        <v>0</v>
      </c>
      <c r="S31" s="59">
        <f>0</f>
        <v>0</v>
      </c>
      <c r="T31" s="59">
        <f>0</f>
        <v>0</v>
      </c>
    </row>
    <row r="32" spans="1:20" ht="18" customHeight="1">
      <c r="A32" s="53" t="s">
        <v>151</v>
      </c>
      <c r="B32" s="54" t="s">
        <v>152</v>
      </c>
      <c r="C32" s="55">
        <f>0</f>
        <v>0</v>
      </c>
      <c r="D32" s="56">
        <f>4991901.11</f>
        <v>4991901.1100000003</v>
      </c>
      <c r="E32" s="56">
        <f>7170531</f>
        <v>7170531</v>
      </c>
      <c r="F32" s="57">
        <f>7252484</f>
        <v>7252484</v>
      </c>
      <c r="G32" s="58">
        <f>14487937</f>
        <v>14487937</v>
      </c>
      <c r="H32" s="59">
        <f>5350000</f>
        <v>5350000</v>
      </c>
      <c r="I32" s="59">
        <f>0</f>
        <v>0</v>
      </c>
      <c r="J32" s="59">
        <f>0</f>
        <v>0</v>
      </c>
      <c r="K32" s="59">
        <f>0</f>
        <v>0</v>
      </c>
      <c r="L32" s="59">
        <f>0</f>
        <v>0</v>
      </c>
      <c r="M32" s="59">
        <f>0</f>
        <v>0</v>
      </c>
      <c r="N32" s="59">
        <f>0</f>
        <v>0</v>
      </c>
      <c r="O32" s="59">
        <f>0</f>
        <v>0</v>
      </c>
      <c r="P32" s="59">
        <f>0</f>
        <v>0</v>
      </c>
      <c r="Q32" s="59">
        <f>0</f>
        <v>0</v>
      </c>
      <c r="R32" s="59">
        <f>0</f>
        <v>0</v>
      </c>
      <c r="S32" s="59">
        <f>0</f>
        <v>0</v>
      </c>
      <c r="T32" s="59">
        <f>0</f>
        <v>0</v>
      </c>
    </row>
    <row r="33" spans="1:20" ht="18" customHeight="1">
      <c r="A33" s="53" t="s">
        <v>153</v>
      </c>
      <c r="B33" s="60" t="s">
        <v>150</v>
      </c>
      <c r="C33" s="55">
        <f>0</f>
        <v>0</v>
      </c>
      <c r="D33" s="56">
        <f>0</f>
        <v>0</v>
      </c>
      <c r="E33" s="56">
        <f>0</f>
        <v>0</v>
      </c>
      <c r="F33" s="57">
        <f>7252484</f>
        <v>7252484</v>
      </c>
      <c r="G33" s="58">
        <f>14487937</f>
        <v>14487937</v>
      </c>
      <c r="H33" s="59">
        <f>1008000</f>
        <v>1008000</v>
      </c>
      <c r="I33" s="59">
        <f>0</f>
        <v>0</v>
      </c>
      <c r="J33" s="59">
        <f>0</f>
        <v>0</v>
      </c>
      <c r="K33" s="59">
        <f>0</f>
        <v>0</v>
      </c>
      <c r="L33" s="59">
        <f>0</f>
        <v>0</v>
      </c>
      <c r="M33" s="59">
        <f>0</f>
        <v>0</v>
      </c>
      <c r="N33" s="59">
        <f>0</f>
        <v>0</v>
      </c>
      <c r="O33" s="59">
        <f>0</f>
        <v>0</v>
      </c>
      <c r="P33" s="59">
        <f>0</f>
        <v>0</v>
      </c>
      <c r="Q33" s="59">
        <f>0</f>
        <v>0</v>
      </c>
      <c r="R33" s="59">
        <f>0</f>
        <v>0</v>
      </c>
      <c r="S33" s="59">
        <f>0</f>
        <v>0</v>
      </c>
      <c r="T33" s="59">
        <f>0</f>
        <v>0</v>
      </c>
    </row>
    <row r="34" spans="1:20" ht="30.75" customHeight="1">
      <c r="A34" s="53" t="s">
        <v>154</v>
      </c>
      <c r="B34" s="54" t="s">
        <v>155</v>
      </c>
      <c r="C34" s="55">
        <f>4917557.72</f>
        <v>4917557.72</v>
      </c>
      <c r="D34" s="56">
        <f>7347601.19</f>
        <v>7347601.1900000004</v>
      </c>
      <c r="E34" s="56">
        <f>3155134</f>
        <v>3155134</v>
      </c>
      <c r="F34" s="57">
        <f>3155134</f>
        <v>3155134</v>
      </c>
      <c r="G34" s="58">
        <f>9682461</f>
        <v>9682461</v>
      </c>
      <c r="H34" s="59">
        <f>0</f>
        <v>0</v>
      </c>
      <c r="I34" s="59">
        <f>0</f>
        <v>0</v>
      </c>
      <c r="J34" s="59">
        <f>0</f>
        <v>0</v>
      </c>
      <c r="K34" s="59">
        <f>0</f>
        <v>0</v>
      </c>
      <c r="L34" s="59">
        <f>0</f>
        <v>0</v>
      </c>
      <c r="M34" s="59">
        <f>0</f>
        <v>0</v>
      </c>
      <c r="N34" s="59">
        <f>0</f>
        <v>0</v>
      </c>
      <c r="O34" s="59">
        <f>0</f>
        <v>0</v>
      </c>
      <c r="P34" s="59">
        <f>0</f>
        <v>0</v>
      </c>
      <c r="Q34" s="59">
        <f>0</f>
        <v>0</v>
      </c>
      <c r="R34" s="59">
        <f>0</f>
        <v>0</v>
      </c>
      <c r="S34" s="59">
        <f>0</f>
        <v>0</v>
      </c>
      <c r="T34" s="59">
        <f>0</f>
        <v>0</v>
      </c>
    </row>
    <row r="35" spans="1:20" ht="18.75" customHeight="1">
      <c r="A35" s="53" t="s">
        <v>156</v>
      </c>
      <c r="B35" s="60" t="s">
        <v>150</v>
      </c>
      <c r="C35" s="55">
        <f>0</f>
        <v>0</v>
      </c>
      <c r="D35" s="56">
        <f>0</f>
        <v>0</v>
      </c>
      <c r="E35" s="56">
        <f>0</f>
        <v>0</v>
      </c>
      <c r="F35" s="57">
        <f>2818134</f>
        <v>2818134</v>
      </c>
      <c r="G35" s="58">
        <f>9682461</f>
        <v>9682461</v>
      </c>
      <c r="H35" s="59">
        <f>0</f>
        <v>0</v>
      </c>
      <c r="I35" s="59">
        <f>0</f>
        <v>0</v>
      </c>
      <c r="J35" s="59">
        <f>0</f>
        <v>0</v>
      </c>
      <c r="K35" s="59">
        <f>0</f>
        <v>0</v>
      </c>
      <c r="L35" s="59">
        <f>0</f>
        <v>0</v>
      </c>
      <c r="M35" s="59">
        <f>0</f>
        <v>0</v>
      </c>
      <c r="N35" s="59">
        <f>0</f>
        <v>0</v>
      </c>
      <c r="O35" s="59">
        <f>0</f>
        <v>0</v>
      </c>
      <c r="P35" s="59">
        <f>0</f>
        <v>0</v>
      </c>
      <c r="Q35" s="59">
        <f>0</f>
        <v>0</v>
      </c>
      <c r="R35" s="59">
        <f>0</f>
        <v>0</v>
      </c>
      <c r="S35" s="59">
        <f>0</f>
        <v>0</v>
      </c>
      <c r="T35" s="59">
        <f>0</f>
        <v>0</v>
      </c>
    </row>
    <row r="36" spans="1:20" ht="28.5" customHeight="1">
      <c r="A36" s="53" t="s">
        <v>157</v>
      </c>
      <c r="B36" s="54" t="s">
        <v>158</v>
      </c>
      <c r="C36" s="55">
        <f>0</f>
        <v>0</v>
      </c>
      <c r="D36" s="56">
        <f>0</f>
        <v>0</v>
      </c>
      <c r="E36" s="56">
        <f>0</f>
        <v>0</v>
      </c>
      <c r="F36" s="57">
        <f>0</f>
        <v>0</v>
      </c>
      <c r="G36" s="58">
        <f>0</f>
        <v>0</v>
      </c>
      <c r="H36" s="59">
        <f>0</f>
        <v>0</v>
      </c>
      <c r="I36" s="59">
        <f>0</f>
        <v>0</v>
      </c>
      <c r="J36" s="59">
        <f>0</f>
        <v>0</v>
      </c>
      <c r="K36" s="59">
        <f>0</f>
        <v>0</v>
      </c>
      <c r="L36" s="59">
        <f>0</f>
        <v>0</v>
      </c>
      <c r="M36" s="59">
        <f>0</f>
        <v>0</v>
      </c>
      <c r="N36" s="59">
        <f>0</f>
        <v>0</v>
      </c>
      <c r="O36" s="59">
        <f>0</f>
        <v>0</v>
      </c>
      <c r="P36" s="59">
        <f>0</f>
        <v>0</v>
      </c>
      <c r="Q36" s="59">
        <f>0</f>
        <v>0</v>
      </c>
      <c r="R36" s="59">
        <f>0</f>
        <v>0</v>
      </c>
      <c r="S36" s="59">
        <f>0</f>
        <v>0</v>
      </c>
      <c r="T36" s="59">
        <f>0</f>
        <v>0</v>
      </c>
    </row>
    <row r="37" spans="1:20" ht="18" customHeight="1">
      <c r="A37" s="53" t="s">
        <v>159</v>
      </c>
      <c r="B37" s="60" t="s">
        <v>150</v>
      </c>
      <c r="C37" s="55">
        <f>0</f>
        <v>0</v>
      </c>
      <c r="D37" s="56">
        <f>0</f>
        <v>0</v>
      </c>
      <c r="E37" s="56">
        <f>0</f>
        <v>0</v>
      </c>
      <c r="F37" s="57">
        <f>0</f>
        <v>0</v>
      </c>
      <c r="G37" s="58">
        <f>0</f>
        <v>0</v>
      </c>
      <c r="H37" s="59">
        <f>0</f>
        <v>0</v>
      </c>
      <c r="I37" s="59">
        <f>0</f>
        <v>0</v>
      </c>
      <c r="J37" s="59">
        <f>0</f>
        <v>0</v>
      </c>
      <c r="K37" s="59">
        <f>0</f>
        <v>0</v>
      </c>
      <c r="L37" s="59">
        <f>0</f>
        <v>0</v>
      </c>
      <c r="M37" s="59">
        <f>0</f>
        <v>0</v>
      </c>
      <c r="N37" s="59">
        <f>0</f>
        <v>0</v>
      </c>
      <c r="O37" s="59">
        <f>0</f>
        <v>0</v>
      </c>
      <c r="P37" s="59">
        <f>0</f>
        <v>0</v>
      </c>
      <c r="Q37" s="59">
        <f>0</f>
        <v>0</v>
      </c>
      <c r="R37" s="59">
        <f>0</f>
        <v>0</v>
      </c>
      <c r="S37" s="59">
        <f>0</f>
        <v>0</v>
      </c>
      <c r="T37" s="59">
        <f>0</f>
        <v>0</v>
      </c>
    </row>
    <row r="38" spans="1:20" ht="30" customHeight="1">
      <c r="A38" s="53" t="s">
        <v>160</v>
      </c>
      <c r="B38" s="54" t="s">
        <v>161</v>
      </c>
      <c r="C38" s="55">
        <f>0</f>
        <v>0</v>
      </c>
      <c r="D38" s="56">
        <f>0</f>
        <v>0</v>
      </c>
      <c r="E38" s="56">
        <f>0</f>
        <v>0</v>
      </c>
      <c r="F38" s="57">
        <f>0</f>
        <v>0</v>
      </c>
      <c r="G38" s="58">
        <f>0</f>
        <v>0</v>
      </c>
      <c r="H38" s="59">
        <f>0</f>
        <v>0</v>
      </c>
      <c r="I38" s="59">
        <f>0</f>
        <v>0</v>
      </c>
      <c r="J38" s="59">
        <f>0</f>
        <v>0</v>
      </c>
      <c r="K38" s="59">
        <f>0</f>
        <v>0</v>
      </c>
      <c r="L38" s="59">
        <f>0</f>
        <v>0</v>
      </c>
      <c r="M38" s="59">
        <f>0</f>
        <v>0</v>
      </c>
      <c r="N38" s="59">
        <f>0</f>
        <v>0</v>
      </c>
      <c r="O38" s="59">
        <f>0</f>
        <v>0</v>
      </c>
      <c r="P38" s="59">
        <f>0</f>
        <v>0</v>
      </c>
      <c r="Q38" s="59">
        <f>0</f>
        <v>0</v>
      </c>
      <c r="R38" s="59">
        <f>0</f>
        <v>0</v>
      </c>
      <c r="S38" s="59">
        <f>0</f>
        <v>0</v>
      </c>
      <c r="T38" s="59">
        <f>0</f>
        <v>0</v>
      </c>
    </row>
    <row r="39" spans="1:20" ht="18" customHeight="1">
      <c r="A39" s="53" t="s">
        <v>162</v>
      </c>
      <c r="B39" s="60" t="s">
        <v>150</v>
      </c>
      <c r="C39" s="55">
        <f>0</f>
        <v>0</v>
      </c>
      <c r="D39" s="56">
        <f>0</f>
        <v>0</v>
      </c>
      <c r="E39" s="56">
        <f>0</f>
        <v>0</v>
      </c>
      <c r="F39" s="57">
        <f>0</f>
        <v>0</v>
      </c>
      <c r="G39" s="58">
        <f>0</f>
        <v>0</v>
      </c>
      <c r="H39" s="59">
        <f>0</f>
        <v>0</v>
      </c>
      <c r="I39" s="59">
        <f>0</f>
        <v>0</v>
      </c>
      <c r="J39" s="59">
        <f>0</f>
        <v>0</v>
      </c>
      <c r="K39" s="59">
        <f>0</f>
        <v>0</v>
      </c>
      <c r="L39" s="59">
        <f>0</f>
        <v>0</v>
      </c>
      <c r="M39" s="59">
        <f>0</f>
        <v>0</v>
      </c>
      <c r="N39" s="59">
        <f>0</f>
        <v>0</v>
      </c>
      <c r="O39" s="59">
        <f>0</f>
        <v>0</v>
      </c>
      <c r="P39" s="59">
        <f>0</f>
        <v>0</v>
      </c>
      <c r="Q39" s="59">
        <f>0</f>
        <v>0</v>
      </c>
      <c r="R39" s="59">
        <f>0</f>
        <v>0</v>
      </c>
      <c r="S39" s="59">
        <f>0</f>
        <v>0</v>
      </c>
      <c r="T39" s="59">
        <f>0</f>
        <v>0</v>
      </c>
    </row>
    <row r="40" spans="1:20" ht="18" customHeight="1">
      <c r="A40" s="62">
        <v>5</v>
      </c>
      <c r="B40" s="63" t="s">
        <v>163</v>
      </c>
      <c r="C40" s="64">
        <f>5788270</f>
        <v>5788270</v>
      </c>
      <c r="D40" s="65">
        <f>5254612</f>
        <v>5254612</v>
      </c>
      <c r="E40" s="65">
        <f>4542000</f>
        <v>4542000</v>
      </c>
      <c r="F40" s="66">
        <f>4542000</f>
        <v>4542000</v>
      </c>
      <c r="G40" s="67">
        <f>4835000</f>
        <v>4835000</v>
      </c>
      <c r="H40" s="68">
        <f>4342000</f>
        <v>4342000</v>
      </c>
      <c r="I40" s="68">
        <f>4492000</f>
        <v>4492000</v>
      </c>
      <c r="J40" s="68">
        <f>5892000</f>
        <v>5892000</v>
      </c>
      <c r="K40" s="68">
        <f>5800000</f>
        <v>5800000</v>
      </c>
      <c r="L40" s="68">
        <f>7000000</f>
        <v>7000000</v>
      </c>
      <c r="M40" s="68">
        <f>7800000</f>
        <v>7800000</v>
      </c>
      <c r="N40" s="68">
        <f>7300000</f>
        <v>7300000</v>
      </c>
      <c r="O40" s="68">
        <f>7000000</f>
        <v>7000000</v>
      </c>
      <c r="P40" s="68">
        <f>7900000</f>
        <v>7900000</v>
      </c>
      <c r="Q40" s="68">
        <f>7000000</f>
        <v>7000000</v>
      </c>
      <c r="R40" s="68">
        <f>7000000</f>
        <v>7000000</v>
      </c>
      <c r="S40" s="68">
        <f>7000000</f>
        <v>7000000</v>
      </c>
      <c r="T40" s="68">
        <f>5000000</f>
        <v>5000000</v>
      </c>
    </row>
    <row r="41" spans="1:20" ht="33" customHeight="1">
      <c r="A41" s="53" t="s">
        <v>164</v>
      </c>
      <c r="B41" s="54" t="s">
        <v>165</v>
      </c>
      <c r="C41" s="55">
        <f>5788270</f>
        <v>5788270</v>
      </c>
      <c r="D41" s="56">
        <f>5254612</f>
        <v>5254612</v>
      </c>
      <c r="E41" s="56">
        <f>4542000</f>
        <v>4542000</v>
      </c>
      <c r="F41" s="57">
        <f>4542000</f>
        <v>4542000</v>
      </c>
      <c r="G41" s="58">
        <f>4835000</f>
        <v>4835000</v>
      </c>
      <c r="H41" s="59">
        <f>4342000</f>
        <v>4342000</v>
      </c>
      <c r="I41" s="59">
        <f>4492000</f>
        <v>4492000</v>
      </c>
      <c r="J41" s="59">
        <f>5892000</f>
        <v>5892000</v>
      </c>
      <c r="K41" s="59">
        <f>5800000</f>
        <v>5800000</v>
      </c>
      <c r="L41" s="59">
        <f>7000000</f>
        <v>7000000</v>
      </c>
      <c r="M41" s="59">
        <f>7800000</f>
        <v>7800000</v>
      </c>
      <c r="N41" s="59">
        <f>7300000</f>
        <v>7300000</v>
      </c>
      <c r="O41" s="59">
        <f>7000000</f>
        <v>7000000</v>
      </c>
      <c r="P41" s="59">
        <f>7900000</f>
        <v>7900000</v>
      </c>
      <c r="Q41" s="59">
        <f>7000000</f>
        <v>7000000</v>
      </c>
      <c r="R41" s="59">
        <f>7000000</f>
        <v>7000000</v>
      </c>
      <c r="S41" s="59">
        <f>7000000</f>
        <v>7000000</v>
      </c>
      <c r="T41" s="59">
        <f>5000000</f>
        <v>5000000</v>
      </c>
    </row>
    <row r="42" spans="1:20" ht="42" customHeight="1">
      <c r="A42" s="53" t="s">
        <v>166</v>
      </c>
      <c r="B42" s="60" t="s">
        <v>167</v>
      </c>
      <c r="C42" s="55">
        <f>0</f>
        <v>0</v>
      </c>
      <c r="D42" s="56">
        <f>0</f>
        <v>0</v>
      </c>
      <c r="E42" s="56">
        <f>0</f>
        <v>0</v>
      </c>
      <c r="F42" s="57">
        <f>0</f>
        <v>0</v>
      </c>
      <c r="G42" s="58">
        <f>0</f>
        <v>0</v>
      </c>
      <c r="H42" s="59">
        <f>0</f>
        <v>0</v>
      </c>
      <c r="I42" s="59">
        <f>0</f>
        <v>0</v>
      </c>
      <c r="J42" s="59">
        <f>0</f>
        <v>0</v>
      </c>
      <c r="K42" s="59">
        <f>0</f>
        <v>0</v>
      </c>
      <c r="L42" s="59">
        <f>792809</f>
        <v>792809</v>
      </c>
      <c r="M42" s="59">
        <f>792810</f>
        <v>792810</v>
      </c>
      <c r="N42" s="59">
        <f>0</f>
        <v>0</v>
      </c>
      <c r="O42" s="59">
        <f>0</f>
        <v>0</v>
      </c>
      <c r="P42" s="59">
        <f>0</f>
        <v>0</v>
      </c>
      <c r="Q42" s="59">
        <f>0</f>
        <v>0</v>
      </c>
      <c r="R42" s="59">
        <f>0</f>
        <v>0</v>
      </c>
      <c r="S42" s="59">
        <f>0</f>
        <v>0</v>
      </c>
      <c r="T42" s="59">
        <f>0</f>
        <v>0</v>
      </c>
    </row>
    <row r="43" spans="1:20" ht="47.25" customHeight="1">
      <c r="A43" s="53" t="s">
        <v>168</v>
      </c>
      <c r="B43" s="61" t="s">
        <v>169</v>
      </c>
      <c r="C43" s="55">
        <f>0</f>
        <v>0</v>
      </c>
      <c r="D43" s="56">
        <f>0</f>
        <v>0</v>
      </c>
      <c r="E43" s="56">
        <f>0</f>
        <v>0</v>
      </c>
      <c r="F43" s="57">
        <f>0</f>
        <v>0</v>
      </c>
      <c r="G43" s="58">
        <f>0</f>
        <v>0</v>
      </c>
      <c r="H43" s="59">
        <f>0</f>
        <v>0</v>
      </c>
      <c r="I43" s="59">
        <f>0</f>
        <v>0</v>
      </c>
      <c r="J43" s="59">
        <f>0</f>
        <v>0</v>
      </c>
      <c r="K43" s="59">
        <f>0</f>
        <v>0</v>
      </c>
      <c r="L43" s="59">
        <f>0</f>
        <v>0</v>
      </c>
      <c r="M43" s="59">
        <f>0</f>
        <v>0</v>
      </c>
      <c r="N43" s="59">
        <f>0</f>
        <v>0</v>
      </c>
      <c r="O43" s="59">
        <f>0</f>
        <v>0</v>
      </c>
      <c r="P43" s="59">
        <f>0</f>
        <v>0</v>
      </c>
      <c r="Q43" s="59">
        <f>0</f>
        <v>0</v>
      </c>
      <c r="R43" s="59">
        <f>0</f>
        <v>0</v>
      </c>
      <c r="S43" s="59">
        <f>0</f>
        <v>0</v>
      </c>
      <c r="T43" s="59">
        <f>0</f>
        <v>0</v>
      </c>
    </row>
    <row r="44" spans="1:20" ht="42" customHeight="1">
      <c r="A44" s="53" t="s">
        <v>170</v>
      </c>
      <c r="B44" s="61" t="s">
        <v>171</v>
      </c>
      <c r="C44" s="55">
        <f>0</f>
        <v>0</v>
      </c>
      <c r="D44" s="56">
        <f>0</f>
        <v>0</v>
      </c>
      <c r="E44" s="56">
        <f>0</f>
        <v>0</v>
      </c>
      <c r="F44" s="57">
        <f>0</f>
        <v>0</v>
      </c>
      <c r="G44" s="58">
        <f>0</f>
        <v>0</v>
      </c>
      <c r="H44" s="59">
        <f>0</f>
        <v>0</v>
      </c>
      <c r="I44" s="59">
        <f>0</f>
        <v>0</v>
      </c>
      <c r="J44" s="59">
        <f>0</f>
        <v>0</v>
      </c>
      <c r="K44" s="59">
        <f>0</f>
        <v>0</v>
      </c>
      <c r="L44" s="59">
        <f>0</f>
        <v>0</v>
      </c>
      <c r="M44" s="59">
        <f>0</f>
        <v>0</v>
      </c>
      <c r="N44" s="59">
        <f>0</f>
        <v>0</v>
      </c>
      <c r="O44" s="59">
        <f>0</f>
        <v>0</v>
      </c>
      <c r="P44" s="59">
        <f>0</f>
        <v>0</v>
      </c>
      <c r="Q44" s="59">
        <f>0</f>
        <v>0</v>
      </c>
      <c r="R44" s="59">
        <f>0</f>
        <v>0</v>
      </c>
      <c r="S44" s="59">
        <f>0</f>
        <v>0</v>
      </c>
      <c r="T44" s="59">
        <f>0</f>
        <v>0</v>
      </c>
    </row>
    <row r="45" spans="1:20" ht="44.25" customHeight="1">
      <c r="A45" s="53" t="s">
        <v>172</v>
      </c>
      <c r="B45" s="61" t="s">
        <v>173</v>
      </c>
      <c r="C45" s="55">
        <f>0</f>
        <v>0</v>
      </c>
      <c r="D45" s="56">
        <f>0</f>
        <v>0</v>
      </c>
      <c r="E45" s="56">
        <f>0</f>
        <v>0</v>
      </c>
      <c r="F45" s="57">
        <f>0</f>
        <v>0</v>
      </c>
      <c r="G45" s="58">
        <f>0</f>
        <v>0</v>
      </c>
      <c r="H45" s="59">
        <f>0</f>
        <v>0</v>
      </c>
      <c r="I45" s="59">
        <f>0</f>
        <v>0</v>
      </c>
      <c r="J45" s="59">
        <f>0</f>
        <v>0</v>
      </c>
      <c r="K45" s="59">
        <f>0</f>
        <v>0</v>
      </c>
      <c r="L45" s="59">
        <f>0</f>
        <v>0</v>
      </c>
      <c r="M45" s="59">
        <f>0</f>
        <v>0</v>
      </c>
      <c r="N45" s="59">
        <f>0</f>
        <v>0</v>
      </c>
      <c r="O45" s="59">
        <f>0</f>
        <v>0</v>
      </c>
      <c r="P45" s="59">
        <f>0</f>
        <v>0</v>
      </c>
      <c r="Q45" s="59">
        <f>0</f>
        <v>0</v>
      </c>
      <c r="R45" s="59">
        <f>0</f>
        <v>0</v>
      </c>
      <c r="S45" s="59">
        <f>0</f>
        <v>0</v>
      </c>
      <c r="T45" s="59">
        <f>0</f>
        <v>0</v>
      </c>
    </row>
    <row r="46" spans="1:20" ht="18" customHeight="1">
      <c r="A46" s="53" t="s">
        <v>174</v>
      </c>
      <c r="B46" s="69" t="s">
        <v>175</v>
      </c>
      <c r="C46" s="55">
        <f>0</f>
        <v>0</v>
      </c>
      <c r="D46" s="56">
        <f>0</f>
        <v>0</v>
      </c>
      <c r="E46" s="56">
        <f>0</f>
        <v>0</v>
      </c>
      <c r="F46" s="57">
        <f>0</f>
        <v>0</v>
      </c>
      <c r="G46" s="58">
        <f>0</f>
        <v>0</v>
      </c>
      <c r="H46" s="59">
        <f>0</f>
        <v>0</v>
      </c>
      <c r="I46" s="59">
        <f>0</f>
        <v>0</v>
      </c>
      <c r="J46" s="59">
        <f>0</f>
        <v>0</v>
      </c>
      <c r="K46" s="59">
        <f>0</f>
        <v>0</v>
      </c>
      <c r="L46" s="59">
        <f>0</f>
        <v>0</v>
      </c>
      <c r="M46" s="59">
        <f>0</f>
        <v>0</v>
      </c>
      <c r="N46" s="59">
        <f>0</f>
        <v>0</v>
      </c>
      <c r="O46" s="59">
        <f>0</f>
        <v>0</v>
      </c>
      <c r="P46" s="59">
        <f>0</f>
        <v>0</v>
      </c>
      <c r="Q46" s="59">
        <f>0</f>
        <v>0</v>
      </c>
      <c r="R46" s="59">
        <f>0</f>
        <v>0</v>
      </c>
      <c r="S46" s="59">
        <f>0</f>
        <v>0</v>
      </c>
      <c r="T46" s="59">
        <f>0</f>
        <v>0</v>
      </c>
    </row>
    <row r="47" spans="1:20" ht="32.25" customHeight="1">
      <c r="A47" s="53" t="s">
        <v>176</v>
      </c>
      <c r="B47" s="69" t="s">
        <v>177</v>
      </c>
      <c r="C47" s="55">
        <f>0</f>
        <v>0</v>
      </c>
      <c r="D47" s="56">
        <f>0</f>
        <v>0</v>
      </c>
      <c r="E47" s="56">
        <f>0</f>
        <v>0</v>
      </c>
      <c r="F47" s="57">
        <f>0</f>
        <v>0</v>
      </c>
      <c r="G47" s="58">
        <f>0</f>
        <v>0</v>
      </c>
      <c r="H47" s="59">
        <f>0</f>
        <v>0</v>
      </c>
      <c r="I47" s="59">
        <f>0</f>
        <v>0</v>
      </c>
      <c r="J47" s="59">
        <f>0</f>
        <v>0</v>
      </c>
      <c r="K47" s="59">
        <f>0</f>
        <v>0</v>
      </c>
      <c r="L47" s="59">
        <f>0</f>
        <v>0</v>
      </c>
      <c r="M47" s="59">
        <f>0</f>
        <v>0</v>
      </c>
      <c r="N47" s="59">
        <f>0</f>
        <v>0</v>
      </c>
      <c r="O47" s="59">
        <f>0</f>
        <v>0</v>
      </c>
      <c r="P47" s="59">
        <f>0</f>
        <v>0</v>
      </c>
      <c r="Q47" s="59">
        <f>0</f>
        <v>0</v>
      </c>
      <c r="R47" s="59">
        <f>0</f>
        <v>0</v>
      </c>
      <c r="S47" s="59">
        <f>0</f>
        <v>0</v>
      </c>
      <c r="T47" s="59">
        <f>0</f>
        <v>0</v>
      </c>
    </row>
    <row r="48" spans="1:20" ht="21" customHeight="1">
      <c r="A48" s="53" t="s">
        <v>178</v>
      </c>
      <c r="B48" s="69" t="s">
        <v>179</v>
      </c>
      <c r="C48" s="55">
        <f>0</f>
        <v>0</v>
      </c>
      <c r="D48" s="56">
        <f>0</f>
        <v>0</v>
      </c>
      <c r="E48" s="56">
        <f>0</f>
        <v>0</v>
      </c>
      <c r="F48" s="57">
        <f>0</f>
        <v>0</v>
      </c>
      <c r="G48" s="58">
        <f>0</f>
        <v>0</v>
      </c>
      <c r="H48" s="59">
        <f>0</f>
        <v>0</v>
      </c>
      <c r="I48" s="59">
        <f>0</f>
        <v>0</v>
      </c>
      <c r="J48" s="59">
        <f>0</f>
        <v>0</v>
      </c>
      <c r="K48" s="59">
        <f>0</f>
        <v>0</v>
      </c>
      <c r="L48" s="59">
        <f>0</f>
        <v>0</v>
      </c>
      <c r="M48" s="59">
        <f>0</f>
        <v>0</v>
      </c>
      <c r="N48" s="59">
        <f>0</f>
        <v>0</v>
      </c>
      <c r="O48" s="59">
        <f>0</f>
        <v>0</v>
      </c>
      <c r="P48" s="59">
        <f>0</f>
        <v>0</v>
      </c>
      <c r="Q48" s="59">
        <f>0</f>
        <v>0</v>
      </c>
      <c r="R48" s="59">
        <f>0</f>
        <v>0</v>
      </c>
      <c r="S48" s="59">
        <f>0</f>
        <v>0</v>
      </c>
      <c r="T48" s="59">
        <f>0</f>
        <v>0</v>
      </c>
    </row>
    <row r="49" spans="1:20" ht="42" customHeight="1">
      <c r="A49" s="53" t="s">
        <v>180</v>
      </c>
      <c r="B49" s="61" t="s">
        <v>181</v>
      </c>
      <c r="C49" s="55">
        <f>0</f>
        <v>0</v>
      </c>
      <c r="D49" s="56">
        <f>0</f>
        <v>0</v>
      </c>
      <c r="E49" s="56">
        <f>0</f>
        <v>0</v>
      </c>
      <c r="F49" s="57">
        <f>0</f>
        <v>0</v>
      </c>
      <c r="G49" s="58">
        <f>0</f>
        <v>0</v>
      </c>
      <c r="H49" s="59">
        <f>0</f>
        <v>0</v>
      </c>
      <c r="I49" s="59">
        <f>0</f>
        <v>0</v>
      </c>
      <c r="J49" s="59">
        <f>0</f>
        <v>0</v>
      </c>
      <c r="K49" s="59">
        <f>0</f>
        <v>0</v>
      </c>
      <c r="L49" s="59">
        <f>792809</f>
        <v>792809</v>
      </c>
      <c r="M49" s="59">
        <f>792810</f>
        <v>792810</v>
      </c>
      <c r="N49" s="59">
        <f>0</f>
        <v>0</v>
      </c>
      <c r="O49" s="59">
        <f>0</f>
        <v>0</v>
      </c>
      <c r="P49" s="59">
        <f>0</f>
        <v>0</v>
      </c>
      <c r="Q49" s="59">
        <f>0</f>
        <v>0</v>
      </c>
      <c r="R49" s="59">
        <f>0</f>
        <v>0</v>
      </c>
      <c r="S49" s="59">
        <f>0</f>
        <v>0</v>
      </c>
      <c r="T49" s="59">
        <f>0</f>
        <v>0</v>
      </c>
    </row>
    <row r="50" spans="1:20" ht="18" customHeight="1">
      <c r="A50" s="53" t="s">
        <v>182</v>
      </c>
      <c r="B50" s="54" t="s">
        <v>183</v>
      </c>
      <c r="C50" s="55">
        <f>0</f>
        <v>0</v>
      </c>
      <c r="D50" s="56">
        <f>0</f>
        <v>0</v>
      </c>
      <c r="E50" s="56">
        <f>0</f>
        <v>0</v>
      </c>
      <c r="F50" s="57">
        <f>0</f>
        <v>0</v>
      </c>
      <c r="G50" s="58">
        <f>0</f>
        <v>0</v>
      </c>
      <c r="H50" s="59">
        <f>0</f>
        <v>0</v>
      </c>
      <c r="I50" s="59">
        <f>0</f>
        <v>0</v>
      </c>
      <c r="J50" s="59">
        <f>0</f>
        <v>0</v>
      </c>
      <c r="K50" s="59">
        <f>0</f>
        <v>0</v>
      </c>
      <c r="L50" s="59">
        <f>0</f>
        <v>0</v>
      </c>
      <c r="M50" s="59">
        <f>0</f>
        <v>0</v>
      </c>
      <c r="N50" s="59">
        <f>0</f>
        <v>0</v>
      </c>
      <c r="O50" s="59">
        <f>0</f>
        <v>0</v>
      </c>
      <c r="P50" s="59">
        <f>0</f>
        <v>0</v>
      </c>
      <c r="Q50" s="59">
        <f>0</f>
        <v>0</v>
      </c>
      <c r="R50" s="59">
        <f>0</f>
        <v>0</v>
      </c>
      <c r="S50" s="59">
        <f>0</f>
        <v>0</v>
      </c>
      <c r="T50" s="59">
        <f>0</f>
        <v>0</v>
      </c>
    </row>
    <row r="51" spans="1:20" ht="18" customHeight="1">
      <c r="A51" s="70" t="s">
        <v>184</v>
      </c>
      <c r="B51" s="63" t="s">
        <v>185</v>
      </c>
      <c r="C51" s="64">
        <f>51474135.93</f>
        <v>51474135.93</v>
      </c>
      <c r="D51" s="65">
        <f>53564762.05</f>
        <v>53564762.049999997</v>
      </c>
      <c r="E51" s="65">
        <f>78361000</f>
        <v>78361000</v>
      </c>
      <c r="F51" s="66">
        <f>78361000</f>
        <v>78361000</v>
      </c>
      <c r="G51" s="67">
        <f>83526000</f>
        <v>83526000</v>
      </c>
      <c r="H51" s="68">
        <f>79184000</f>
        <v>79184000</v>
      </c>
      <c r="I51" s="68">
        <f>74692000</f>
        <v>74692000</v>
      </c>
      <c r="J51" s="68">
        <f>68800000</f>
        <v>68800000</v>
      </c>
      <c r="K51" s="68">
        <f>63000000</f>
        <v>63000000</v>
      </c>
      <c r="L51" s="68">
        <f>56000000</f>
        <v>56000000</v>
      </c>
      <c r="M51" s="68">
        <f>48200000</f>
        <v>48200000</v>
      </c>
      <c r="N51" s="68">
        <f>40900000</f>
        <v>40900000</v>
      </c>
      <c r="O51" s="68">
        <f>33900000</f>
        <v>33900000</v>
      </c>
      <c r="P51" s="68">
        <f>26000000</f>
        <v>26000000</v>
      </c>
      <c r="Q51" s="68">
        <f>19000000</f>
        <v>19000000</v>
      </c>
      <c r="R51" s="68">
        <f>12000000</f>
        <v>12000000</v>
      </c>
      <c r="S51" s="68">
        <f>5000000</f>
        <v>5000000</v>
      </c>
      <c r="T51" s="68">
        <f>0</f>
        <v>0</v>
      </c>
    </row>
    <row r="52" spans="1:20" ht="30" customHeight="1">
      <c r="A52" s="53" t="s">
        <v>186</v>
      </c>
      <c r="B52" s="54" t="s">
        <v>187</v>
      </c>
      <c r="C52" s="55">
        <f>1309523.93</f>
        <v>1309523.93</v>
      </c>
      <c r="D52" s="56">
        <f>654762.05</f>
        <v>654762.05000000005</v>
      </c>
      <c r="E52" s="56">
        <f>0</f>
        <v>0</v>
      </c>
      <c r="F52" s="57">
        <f>0</f>
        <v>0</v>
      </c>
      <c r="G52" s="58">
        <f>0</f>
        <v>0</v>
      </c>
      <c r="H52" s="59">
        <f>0</f>
        <v>0</v>
      </c>
      <c r="I52" s="59">
        <f>0</f>
        <v>0</v>
      </c>
      <c r="J52" s="59">
        <f>0</f>
        <v>0</v>
      </c>
      <c r="K52" s="59">
        <f>0</f>
        <v>0</v>
      </c>
      <c r="L52" s="59">
        <f>0</f>
        <v>0</v>
      </c>
      <c r="M52" s="59">
        <f>0</f>
        <v>0</v>
      </c>
      <c r="N52" s="59">
        <f>0</f>
        <v>0</v>
      </c>
      <c r="O52" s="59">
        <f>0</f>
        <v>0</v>
      </c>
      <c r="P52" s="59">
        <f>0</f>
        <v>0</v>
      </c>
      <c r="Q52" s="59">
        <f>0</f>
        <v>0</v>
      </c>
      <c r="R52" s="59">
        <f>0</f>
        <v>0</v>
      </c>
      <c r="S52" s="59">
        <f>0</f>
        <v>0</v>
      </c>
      <c r="T52" s="59">
        <f>0</f>
        <v>0</v>
      </c>
    </row>
    <row r="53" spans="1:20" ht="28.5" customHeight="1">
      <c r="A53" s="62">
        <v>7</v>
      </c>
      <c r="B53" s="63" t="s">
        <v>188</v>
      </c>
      <c r="C53" s="71" t="s">
        <v>189</v>
      </c>
      <c r="D53" s="72" t="s">
        <v>189</v>
      </c>
      <c r="E53" s="72" t="s">
        <v>189</v>
      </c>
      <c r="F53" s="73" t="s">
        <v>189</v>
      </c>
      <c r="G53" s="74" t="s">
        <v>189</v>
      </c>
      <c r="H53" s="75" t="s">
        <v>189</v>
      </c>
      <c r="I53" s="75" t="s">
        <v>189</v>
      </c>
      <c r="J53" s="75" t="s">
        <v>189</v>
      </c>
      <c r="K53" s="75" t="s">
        <v>189</v>
      </c>
      <c r="L53" s="75" t="s">
        <v>189</v>
      </c>
      <c r="M53" s="75" t="s">
        <v>189</v>
      </c>
      <c r="N53" s="75" t="s">
        <v>189</v>
      </c>
      <c r="O53" s="75" t="s">
        <v>189</v>
      </c>
      <c r="P53" s="75" t="s">
        <v>189</v>
      </c>
      <c r="Q53" s="75" t="s">
        <v>189</v>
      </c>
      <c r="R53" s="75" t="s">
        <v>189</v>
      </c>
      <c r="S53" s="75" t="s">
        <v>189</v>
      </c>
      <c r="T53" s="75" t="s">
        <v>189</v>
      </c>
    </row>
    <row r="54" spans="1:20" ht="28.5" customHeight="1">
      <c r="A54" s="76" t="s">
        <v>190</v>
      </c>
      <c r="B54" s="77" t="s">
        <v>191</v>
      </c>
      <c r="C54" s="55">
        <f>13758395.25</f>
        <v>13758395.25</v>
      </c>
      <c r="D54" s="56">
        <f>15891502.19</f>
        <v>15891502.189999999</v>
      </c>
      <c r="E54" s="56">
        <f>-174055</f>
        <v>-174055</v>
      </c>
      <c r="F54" s="57">
        <f>-57578</f>
        <v>-57578</v>
      </c>
      <c r="G54" s="58">
        <f>-9251940</f>
        <v>-9251940</v>
      </c>
      <c r="H54" s="59">
        <f>3984467</f>
        <v>3984467</v>
      </c>
      <c r="I54" s="59">
        <f>7378452</f>
        <v>7378452</v>
      </c>
      <c r="J54" s="59">
        <f>10958271</f>
        <v>10958271</v>
      </c>
      <c r="K54" s="59">
        <f>14919287</f>
        <v>14919287</v>
      </c>
      <c r="L54" s="59">
        <f>18892734</f>
        <v>18892734</v>
      </c>
      <c r="M54" s="59">
        <f>21586065</f>
        <v>21586065</v>
      </c>
      <c r="N54" s="59">
        <f>24181786</f>
        <v>24181786</v>
      </c>
      <c r="O54" s="59">
        <f>26602715</f>
        <v>26602715</v>
      </c>
      <c r="P54" s="59">
        <f>28988031</f>
        <v>28988031</v>
      </c>
      <c r="Q54" s="59">
        <f>31283702</f>
        <v>31283702</v>
      </c>
      <c r="R54" s="59">
        <f>33524500</f>
        <v>33524500</v>
      </c>
      <c r="S54" s="59">
        <f>35690557</f>
        <v>35690557</v>
      </c>
      <c r="T54" s="59">
        <f>37911438</f>
        <v>37911438</v>
      </c>
    </row>
    <row r="55" spans="1:20" ht="42" customHeight="1">
      <c r="A55" s="53" t="s">
        <v>192</v>
      </c>
      <c r="B55" s="54" t="s">
        <v>193</v>
      </c>
      <c r="C55" s="55">
        <f>13758395.25</f>
        <v>13758395.25</v>
      </c>
      <c r="D55" s="56">
        <f>20883403.3</f>
        <v>20883403.300000001</v>
      </c>
      <c r="E55" s="56">
        <f>6996476</f>
        <v>6996476</v>
      </c>
      <c r="F55" s="57">
        <f>7194906</f>
        <v>7194906</v>
      </c>
      <c r="G55" s="58">
        <f>5235997</f>
        <v>5235997</v>
      </c>
      <c r="H55" s="59">
        <f>9334467</f>
        <v>9334467</v>
      </c>
      <c r="I55" s="59">
        <f>7378452</f>
        <v>7378452</v>
      </c>
      <c r="J55" s="59">
        <f>10958271</f>
        <v>10958271</v>
      </c>
      <c r="K55" s="59">
        <f>14919287</f>
        <v>14919287</v>
      </c>
      <c r="L55" s="59">
        <f>18892734</f>
        <v>18892734</v>
      </c>
      <c r="M55" s="59">
        <f>21586065</f>
        <v>21586065</v>
      </c>
      <c r="N55" s="59">
        <f>24181786</f>
        <v>24181786</v>
      </c>
      <c r="O55" s="59">
        <f>26602715</f>
        <v>26602715</v>
      </c>
      <c r="P55" s="59">
        <f>28988031</f>
        <v>28988031</v>
      </c>
      <c r="Q55" s="59">
        <f>31283702</f>
        <v>31283702</v>
      </c>
      <c r="R55" s="59">
        <f>33524500</f>
        <v>33524500</v>
      </c>
      <c r="S55" s="59">
        <f>35690557</f>
        <v>35690557</v>
      </c>
      <c r="T55" s="59">
        <f>37911438</f>
        <v>37911438</v>
      </c>
    </row>
    <row r="56" spans="1:20" ht="19.5" customHeight="1">
      <c r="A56" s="62">
        <v>8</v>
      </c>
      <c r="B56" s="63" t="s">
        <v>194</v>
      </c>
      <c r="C56" s="71" t="s">
        <v>189</v>
      </c>
      <c r="D56" s="72" t="s">
        <v>189</v>
      </c>
      <c r="E56" s="72" t="s">
        <v>189</v>
      </c>
      <c r="F56" s="73" t="s">
        <v>189</v>
      </c>
      <c r="G56" s="74" t="s">
        <v>189</v>
      </c>
      <c r="H56" s="75" t="s">
        <v>189</v>
      </c>
      <c r="I56" s="75" t="s">
        <v>189</v>
      </c>
      <c r="J56" s="75" t="s">
        <v>189</v>
      </c>
      <c r="K56" s="75" t="s">
        <v>189</v>
      </c>
      <c r="L56" s="75" t="s">
        <v>189</v>
      </c>
      <c r="M56" s="75" t="s">
        <v>189</v>
      </c>
      <c r="N56" s="75" t="s">
        <v>189</v>
      </c>
      <c r="O56" s="75" t="s">
        <v>189</v>
      </c>
      <c r="P56" s="75" t="s">
        <v>189</v>
      </c>
      <c r="Q56" s="75" t="s">
        <v>189</v>
      </c>
      <c r="R56" s="75" t="s">
        <v>189</v>
      </c>
      <c r="S56" s="75" t="s">
        <v>189</v>
      </c>
      <c r="T56" s="75" t="s">
        <v>189</v>
      </c>
    </row>
    <row r="57" spans="1:20" ht="90.75" customHeight="1">
      <c r="A57" s="53" t="s">
        <v>195</v>
      </c>
      <c r="B57" s="54" t="s">
        <v>196</v>
      </c>
      <c r="C57" s="71" t="s">
        <v>189</v>
      </c>
      <c r="D57" s="72" t="s">
        <v>189</v>
      </c>
      <c r="E57" s="72" t="s">
        <v>189</v>
      </c>
      <c r="F57" s="73" t="s">
        <v>189</v>
      </c>
      <c r="G57" s="78">
        <f>0.0463</f>
        <v>4.6300000000000001E-2</v>
      </c>
      <c r="H57" s="79">
        <f>0.0424</f>
        <v>4.24E-2</v>
      </c>
      <c r="I57" s="79">
        <f>0.0411</f>
        <v>4.1099999999999998E-2</v>
      </c>
      <c r="J57" s="79">
        <f>0.0478</f>
        <v>4.7800000000000002E-2</v>
      </c>
      <c r="K57" s="79">
        <f>0.0447</f>
        <v>4.4699999999999997E-2</v>
      </c>
      <c r="L57" s="79">
        <f>0.0448</f>
        <v>4.48E-2</v>
      </c>
      <c r="M57" s="79">
        <f>0.0469</f>
        <v>4.6899999999999997E-2</v>
      </c>
      <c r="N57" s="79">
        <f>0.0462</f>
        <v>4.6199999999999998E-2</v>
      </c>
      <c r="O57" s="79">
        <f>0.0423</f>
        <v>4.2299999999999997E-2</v>
      </c>
      <c r="P57" s="79">
        <f>0.045</f>
        <v>4.4999999999999998E-2</v>
      </c>
      <c r="Q57" s="79">
        <f>0.0383</f>
        <v>3.8300000000000001E-2</v>
      </c>
      <c r="R57" s="79">
        <f>0.0368</f>
        <v>3.6799999999999999E-2</v>
      </c>
      <c r="S57" s="79">
        <f>0.0353</f>
        <v>3.5299999999999998E-2</v>
      </c>
      <c r="T57" s="79">
        <f>0.0243</f>
        <v>2.4299999999999999E-2</v>
      </c>
    </row>
    <row r="58" spans="1:20" ht="18" customHeight="1">
      <c r="A58" s="53" t="s">
        <v>197</v>
      </c>
      <c r="B58" s="60" t="s">
        <v>197</v>
      </c>
      <c r="C58" s="71" t="s">
        <v>189</v>
      </c>
      <c r="D58" s="72" t="s">
        <v>189</v>
      </c>
      <c r="E58" s="72" t="s">
        <v>189</v>
      </c>
      <c r="F58" s="73" t="s">
        <v>189</v>
      </c>
      <c r="G58" s="78">
        <f>0.0463</f>
        <v>4.6300000000000001E-2</v>
      </c>
      <c r="H58" s="79">
        <f>0.0424</f>
        <v>4.24E-2</v>
      </c>
      <c r="I58" s="79">
        <f>0.0411</f>
        <v>4.1099999999999998E-2</v>
      </c>
      <c r="J58" s="79">
        <f>0.0478</f>
        <v>4.7800000000000002E-2</v>
      </c>
      <c r="K58" s="79">
        <f>0.0447</f>
        <v>4.4699999999999997E-2</v>
      </c>
      <c r="L58" s="79">
        <f>0.0448</f>
        <v>4.48E-2</v>
      </c>
      <c r="M58" s="79">
        <f>0.0469</f>
        <v>4.6899999999999997E-2</v>
      </c>
      <c r="N58" s="79">
        <f>0.0462</f>
        <v>4.6199999999999998E-2</v>
      </c>
      <c r="O58" s="79">
        <f>0.0423</f>
        <v>4.2299999999999997E-2</v>
      </c>
      <c r="P58" s="79">
        <f>0.045</f>
        <v>4.4999999999999998E-2</v>
      </c>
      <c r="Q58" s="79">
        <f>0.0383</f>
        <v>3.8300000000000001E-2</v>
      </c>
      <c r="R58" s="79">
        <f>0.0368</f>
        <v>3.6799999999999999E-2</v>
      </c>
      <c r="S58" s="79">
        <f>0.0353</f>
        <v>3.5299999999999998E-2</v>
      </c>
      <c r="T58" s="79">
        <f>0.0243</f>
        <v>2.4299999999999999E-2</v>
      </c>
    </row>
    <row r="59" spans="1:20" ht="18" customHeight="1">
      <c r="A59" s="53" t="s">
        <v>198</v>
      </c>
      <c r="B59" s="60" t="s">
        <v>198</v>
      </c>
      <c r="C59" s="71" t="s">
        <v>189</v>
      </c>
      <c r="D59" s="72" t="s">
        <v>189</v>
      </c>
      <c r="E59" s="72" t="s">
        <v>189</v>
      </c>
      <c r="F59" s="73" t="s">
        <v>189</v>
      </c>
      <c r="G59" s="78">
        <f>0.0463</f>
        <v>4.6300000000000001E-2</v>
      </c>
      <c r="H59" s="79">
        <f>0.0424</f>
        <v>4.24E-2</v>
      </c>
      <c r="I59" s="79">
        <f>0.0411</f>
        <v>4.1099999999999998E-2</v>
      </c>
      <c r="J59" s="79">
        <f>0.0478</f>
        <v>4.7800000000000002E-2</v>
      </c>
      <c r="K59" s="79">
        <f>0.0447</f>
        <v>4.4699999999999997E-2</v>
      </c>
      <c r="L59" s="79">
        <f>0.0448</f>
        <v>4.48E-2</v>
      </c>
      <c r="M59" s="79">
        <f>0.0469</f>
        <v>4.6899999999999997E-2</v>
      </c>
      <c r="N59" s="79">
        <f>0.0462</f>
        <v>4.6199999999999998E-2</v>
      </c>
      <c r="O59" s="79">
        <f>0.0423</f>
        <v>4.2299999999999997E-2</v>
      </c>
      <c r="P59" s="79">
        <f>0.045</f>
        <v>4.4999999999999998E-2</v>
      </c>
      <c r="Q59" s="79">
        <f>0.0383</f>
        <v>3.8300000000000001E-2</v>
      </c>
      <c r="R59" s="79">
        <f>0.0368</f>
        <v>3.6799999999999999E-2</v>
      </c>
      <c r="S59" s="79">
        <f>0.0353</f>
        <v>3.5299999999999998E-2</v>
      </c>
      <c r="T59" s="79">
        <f>0.0243</f>
        <v>2.4299999999999999E-2</v>
      </c>
    </row>
    <row r="60" spans="1:20" ht="54" customHeight="1">
      <c r="A60" s="53" t="s">
        <v>199</v>
      </c>
      <c r="B60" s="54" t="s">
        <v>200</v>
      </c>
      <c r="C60" s="80">
        <f>0.1151</f>
        <v>0.11509999999999999</v>
      </c>
      <c r="D60" s="81">
        <f>0.1338</f>
        <v>0.1338</v>
      </c>
      <c r="E60" s="81">
        <f>0.0218</f>
        <v>2.18E-2</v>
      </c>
      <c r="F60" s="82">
        <f>0.0227</f>
        <v>2.2700000000000001E-2</v>
      </c>
      <c r="G60" s="78">
        <f>-0.0599</f>
        <v>-5.9900000000000002E-2</v>
      </c>
      <c r="H60" s="79">
        <f>0.0404</f>
        <v>4.0399999999999998E-2</v>
      </c>
      <c r="I60" s="79">
        <f>0.0605</f>
        <v>6.0499999999999998E-2</v>
      </c>
      <c r="J60" s="79">
        <f>0.0806</f>
        <v>8.0600000000000005E-2</v>
      </c>
      <c r="K60" s="79">
        <f>0.1016</f>
        <v>0.1016</v>
      </c>
      <c r="L60" s="79">
        <f>0.1212</f>
        <v>0.1212</v>
      </c>
      <c r="M60" s="79">
        <f>0.1319</f>
        <v>0.13189999999999999</v>
      </c>
      <c r="N60" s="79">
        <f>0.1416</f>
        <v>0.1416</v>
      </c>
      <c r="O60" s="79">
        <f>0.15</f>
        <v>0.15</v>
      </c>
      <c r="P60" s="79">
        <f>0.1576</f>
        <v>0.15759999999999999</v>
      </c>
      <c r="Q60" s="79">
        <f>0.1646</f>
        <v>0.1646</v>
      </c>
      <c r="R60" s="79">
        <f>0.1712</f>
        <v>0.17119999999999999</v>
      </c>
      <c r="S60" s="79">
        <f>0.1772</f>
        <v>0.1772</v>
      </c>
      <c r="T60" s="79">
        <f>0.1832</f>
        <v>0.1832</v>
      </c>
    </row>
    <row r="61" spans="1:20" ht="18" customHeight="1">
      <c r="A61" s="53" t="s">
        <v>201</v>
      </c>
      <c r="B61" s="60" t="s">
        <v>201</v>
      </c>
      <c r="C61" s="80">
        <f>0.1442</f>
        <v>0.14419999999999999</v>
      </c>
      <c r="D61" s="81">
        <f>0.1464</f>
        <v>0.1464</v>
      </c>
      <c r="E61" s="81">
        <f>0.0509</f>
        <v>5.0900000000000001E-2</v>
      </c>
      <c r="F61" s="82">
        <f>0.0501</f>
        <v>5.0099999999999999E-2</v>
      </c>
      <c r="G61" s="78">
        <f>-0.0306</f>
        <v>-3.0599999999999999E-2</v>
      </c>
      <c r="H61" s="79">
        <f>0.0576</f>
        <v>5.7599999999999998E-2</v>
      </c>
      <c r="I61" s="79">
        <f>0.0671</f>
        <v>6.7100000000000007E-2</v>
      </c>
      <c r="J61" s="79">
        <f>0</f>
        <v>0</v>
      </c>
      <c r="K61" s="79">
        <f>0</f>
        <v>0</v>
      </c>
      <c r="L61" s="79">
        <f>0</f>
        <v>0</v>
      </c>
      <c r="M61" s="79">
        <f>0</f>
        <v>0</v>
      </c>
      <c r="N61" s="79">
        <f>0</f>
        <v>0</v>
      </c>
      <c r="O61" s="79">
        <f>0</f>
        <v>0</v>
      </c>
      <c r="P61" s="79">
        <f>0</f>
        <v>0</v>
      </c>
      <c r="Q61" s="79">
        <f>0</f>
        <v>0</v>
      </c>
      <c r="R61" s="79">
        <f>0</f>
        <v>0</v>
      </c>
      <c r="S61" s="79">
        <f>0</f>
        <v>0</v>
      </c>
      <c r="T61" s="79">
        <f>0</f>
        <v>0</v>
      </c>
    </row>
    <row r="62" spans="1:20" ht="18" customHeight="1">
      <c r="A62" s="53" t="s">
        <v>202</v>
      </c>
      <c r="B62" s="60" t="s">
        <v>202</v>
      </c>
      <c r="C62" s="80">
        <f>0.1151</f>
        <v>0.11509999999999999</v>
      </c>
      <c r="D62" s="81">
        <f>0.1338</f>
        <v>0.1338</v>
      </c>
      <c r="E62" s="81">
        <f>0.0218</f>
        <v>2.18E-2</v>
      </c>
      <c r="F62" s="82">
        <f>0.0227</f>
        <v>2.2700000000000001E-2</v>
      </c>
      <c r="G62" s="78">
        <f>-0.0599</f>
        <v>-5.9900000000000002E-2</v>
      </c>
      <c r="H62" s="79">
        <f>0.0404</f>
        <v>4.0399999999999998E-2</v>
      </c>
      <c r="I62" s="79">
        <f>0.0605</f>
        <v>6.0499999999999998E-2</v>
      </c>
      <c r="J62" s="79">
        <f>0.0806</f>
        <v>8.0600000000000005E-2</v>
      </c>
      <c r="K62" s="79">
        <f>0.1016</f>
        <v>0.1016</v>
      </c>
      <c r="L62" s="79">
        <f>0.1212</f>
        <v>0.1212</v>
      </c>
      <c r="M62" s="79">
        <f>0.1319</f>
        <v>0.13189999999999999</v>
      </c>
      <c r="N62" s="79">
        <f>0.1416</f>
        <v>0.1416</v>
      </c>
      <c r="O62" s="79">
        <f>0.15</f>
        <v>0.15</v>
      </c>
      <c r="P62" s="79">
        <f>0.1576</f>
        <v>0.15759999999999999</v>
      </c>
      <c r="Q62" s="79">
        <f>0.1646</f>
        <v>0.1646</v>
      </c>
      <c r="R62" s="79">
        <f>0.1712</f>
        <v>0.17119999999999999</v>
      </c>
      <c r="S62" s="79">
        <f>0.1772</f>
        <v>0.1772</v>
      </c>
      <c r="T62" s="79">
        <f>0.1832</f>
        <v>0.1832</v>
      </c>
    </row>
    <row r="63" spans="1:20" ht="107.25" customHeight="1">
      <c r="A63" s="53" t="s">
        <v>203</v>
      </c>
      <c r="B63" s="54" t="s">
        <v>204</v>
      </c>
      <c r="C63" s="71" t="s">
        <v>189</v>
      </c>
      <c r="D63" s="72" t="s">
        <v>189</v>
      </c>
      <c r="E63" s="72" t="s">
        <v>189</v>
      </c>
      <c r="F63" s="73" t="s">
        <v>189</v>
      </c>
      <c r="G63" s="78">
        <f>0.1138</f>
        <v>0.1138</v>
      </c>
      <c r="H63" s="79">
        <f>0.0556</f>
        <v>5.5599999999999997E-2</v>
      </c>
      <c r="I63" s="79">
        <f>0.026</f>
        <v>2.5999999999999999E-2</v>
      </c>
      <c r="J63" s="79">
        <f>0.0314</f>
        <v>3.1399999999999997E-2</v>
      </c>
      <c r="K63" s="79">
        <f>0.056</f>
        <v>5.6000000000000001E-2</v>
      </c>
      <c r="L63" s="79">
        <f>0.0541</f>
        <v>5.4100000000000002E-2</v>
      </c>
      <c r="M63" s="79">
        <f>0.0523</f>
        <v>5.2299999999999999E-2</v>
      </c>
      <c r="N63" s="79">
        <f>0.068</f>
        <v>6.8000000000000005E-2</v>
      </c>
      <c r="O63" s="79">
        <f>0.0968</f>
        <v>9.6799999999999997E-2</v>
      </c>
      <c r="P63" s="79">
        <f>0.1125</f>
        <v>0.1125</v>
      </c>
      <c r="Q63" s="79">
        <f>0.1264</f>
        <v>0.12640000000000001</v>
      </c>
      <c r="R63" s="79">
        <f>0.1384</f>
        <v>0.1384</v>
      </c>
      <c r="S63" s="79">
        <f>0.1483</f>
        <v>0.14829999999999999</v>
      </c>
      <c r="T63" s="79">
        <f>0.1563</f>
        <v>0.15629999999999999</v>
      </c>
    </row>
    <row r="64" spans="1:20" ht="105" customHeight="1">
      <c r="A64" s="53" t="s">
        <v>205</v>
      </c>
      <c r="B64" s="60" t="s">
        <v>206</v>
      </c>
      <c r="C64" s="71" t="s">
        <v>189</v>
      </c>
      <c r="D64" s="72" t="s">
        <v>189</v>
      </c>
      <c r="E64" s="72" t="s">
        <v>189</v>
      </c>
      <c r="F64" s="73" t="s">
        <v>189</v>
      </c>
      <c r="G64" s="78">
        <f>0.1136</f>
        <v>0.11360000000000001</v>
      </c>
      <c r="H64" s="79">
        <f>0.0553</f>
        <v>5.5300000000000002E-2</v>
      </c>
      <c r="I64" s="79">
        <f>0.0257</f>
        <v>2.5700000000000001E-2</v>
      </c>
      <c r="J64" s="79">
        <f>0.0314</f>
        <v>3.1399999999999997E-2</v>
      </c>
      <c r="K64" s="79">
        <f>0.0562</f>
        <v>5.62E-2</v>
      </c>
      <c r="L64" s="79">
        <f>0.0542</f>
        <v>5.4199999999999998E-2</v>
      </c>
      <c r="M64" s="79">
        <f>0.0524</f>
        <v>5.2400000000000002E-2</v>
      </c>
      <c r="N64" s="79">
        <f>0.068</f>
        <v>6.8000000000000005E-2</v>
      </c>
      <c r="O64" s="79">
        <f>0.0968</f>
        <v>9.6799999999999997E-2</v>
      </c>
      <c r="P64" s="79">
        <f>0.1125</f>
        <v>0.1125</v>
      </c>
      <c r="Q64" s="79">
        <f>0.1264</f>
        <v>0.12640000000000001</v>
      </c>
      <c r="R64" s="79">
        <f>0.1384</f>
        <v>0.1384</v>
      </c>
      <c r="S64" s="79">
        <f>0.1483</f>
        <v>0.14829999999999999</v>
      </c>
      <c r="T64" s="79">
        <f>0.1563</f>
        <v>0.15629999999999999</v>
      </c>
    </row>
    <row r="65" spans="1:20" ht="102" customHeight="1">
      <c r="A65" s="53" t="s">
        <v>207</v>
      </c>
      <c r="B65" s="54" t="s">
        <v>208</v>
      </c>
      <c r="C65" s="71" t="s">
        <v>189</v>
      </c>
      <c r="D65" s="72" t="s">
        <v>189</v>
      </c>
      <c r="E65" s="72" t="s">
        <v>189</v>
      </c>
      <c r="F65" s="73" t="s">
        <v>189</v>
      </c>
      <c r="G65" s="83" t="str">
        <f>IF(G$57&lt;=G$63,"Spełniona","Nie spełniona")</f>
        <v>Spełniona</v>
      </c>
      <c r="H65" s="84" t="str">
        <f>IF(H$57&lt;=H$63,"Spełniona","Nie spełniona")</f>
        <v>Spełniona</v>
      </c>
      <c r="I65" s="84" t="str">
        <f>IF(I$57&lt;=I$63,"Spełniona","Nie spełniona")</f>
        <v>Nie spełniona</v>
      </c>
      <c r="J65" s="84" t="str">
        <f>IF(J$57&lt;=J$63,"Spełniona","Nie spełniona")</f>
        <v>Nie spełniona</v>
      </c>
      <c r="K65" s="84" t="str">
        <f>IF(K$57&lt;=K$63,"Spełniona","Nie spełniona")</f>
        <v>Spełniona</v>
      </c>
      <c r="L65" s="84" t="str">
        <f>IF(L$57&lt;=L$63,"Spełniona","Nie spełniona")</f>
        <v>Spełniona</v>
      </c>
      <c r="M65" s="84" t="str">
        <f>IF(M$57&lt;=M$63,"Spełniona","Nie spełniona")</f>
        <v>Spełniona</v>
      </c>
      <c r="N65" s="84" t="str">
        <f>IF(N$57&lt;=N$63,"Spełniona","Nie spełniona")</f>
        <v>Spełniona</v>
      </c>
      <c r="O65" s="84" t="str">
        <f>IF(O$57&lt;=O$63,"Spełniona","Nie spełniona")</f>
        <v>Spełniona</v>
      </c>
      <c r="P65" s="84" t="str">
        <f>IF(P$57&lt;=P$63,"Spełniona","Nie spełniona")</f>
        <v>Spełniona</v>
      </c>
      <c r="Q65" s="84" t="str">
        <f>IF(Q$57&lt;=Q$63,"Spełniona","Nie spełniona")</f>
        <v>Spełniona</v>
      </c>
      <c r="R65" s="84" t="str">
        <f>IF(R$57&lt;=R$63,"Spełniona","Nie spełniona")</f>
        <v>Spełniona</v>
      </c>
      <c r="S65" s="84" t="str">
        <f>IF(S$57&lt;=S$63,"Spełniona","Nie spełniona")</f>
        <v>Spełniona</v>
      </c>
      <c r="T65" s="84" t="str">
        <f>IF(T$57&lt;=T$63,"Spełniona","Nie spełniona")</f>
        <v>Spełniona</v>
      </c>
    </row>
    <row r="66" spans="1:20" ht="105.75" customHeight="1">
      <c r="A66" s="53" t="s">
        <v>209</v>
      </c>
      <c r="B66" s="60" t="s">
        <v>210</v>
      </c>
      <c r="C66" s="71" t="s">
        <v>189</v>
      </c>
      <c r="D66" s="72" t="s">
        <v>189</v>
      </c>
      <c r="E66" s="72" t="s">
        <v>189</v>
      </c>
      <c r="F66" s="73" t="s">
        <v>189</v>
      </c>
      <c r="G66" s="83" t="str">
        <f>IF(G$57&lt;=G$64,"Spełniona","Nie spełniona")</f>
        <v>Spełniona</v>
      </c>
      <c r="H66" s="84" t="str">
        <f>IF(H$57&lt;=H$64,"Spełniona","Nie spełniona")</f>
        <v>Spełniona</v>
      </c>
      <c r="I66" s="84" t="str">
        <f>IF(I$57&lt;=I$64,"Spełniona","Nie spełniona")</f>
        <v>Nie spełniona</v>
      </c>
      <c r="J66" s="84" t="str">
        <f>IF(J$57&lt;=J$64,"Spełniona","Nie spełniona")</f>
        <v>Nie spełniona</v>
      </c>
      <c r="K66" s="84" t="str">
        <f>IF(K$57&lt;=K$64,"Spełniona","Nie spełniona")</f>
        <v>Spełniona</v>
      </c>
      <c r="L66" s="84" t="str">
        <f>IF(L$57&lt;=L$64,"Spełniona","Nie spełniona")</f>
        <v>Spełniona</v>
      </c>
      <c r="M66" s="84" t="str">
        <f>IF(M$57&lt;=M$64,"Spełniona","Nie spełniona")</f>
        <v>Spełniona</v>
      </c>
      <c r="N66" s="84" t="str">
        <f>IF(N$57&lt;=N$64,"Spełniona","Nie spełniona")</f>
        <v>Spełniona</v>
      </c>
      <c r="O66" s="84" t="str">
        <f>IF(O$57&lt;=O$64,"Spełniona","Nie spełniona")</f>
        <v>Spełniona</v>
      </c>
      <c r="P66" s="84" t="str">
        <f>IF(P$57&lt;=P$64,"Spełniona","Nie spełniona")</f>
        <v>Spełniona</v>
      </c>
      <c r="Q66" s="84" t="str">
        <f>IF(Q$57&lt;=Q$64,"Spełniona","Nie spełniona")</f>
        <v>Spełniona</v>
      </c>
      <c r="R66" s="84" t="str">
        <f>IF(R$57&lt;=R$64,"Spełniona","Nie spełniona")</f>
        <v>Spełniona</v>
      </c>
      <c r="S66" s="84" t="str">
        <f>IF(S$57&lt;=S$64,"Spełniona","Nie spełniona")</f>
        <v>Spełniona</v>
      </c>
      <c r="T66" s="84" t="str">
        <f>IF(T$57&lt;=T$64,"Spełniona","Nie spełniona")</f>
        <v>Spełniona</v>
      </c>
    </row>
    <row r="67" spans="1:20" ht="16.5" customHeight="1">
      <c r="A67" s="53" t="s">
        <v>211</v>
      </c>
      <c r="B67" s="54" t="s">
        <v>212</v>
      </c>
      <c r="C67" s="71" t="s">
        <v>189</v>
      </c>
      <c r="D67" s="72" t="s">
        <v>189</v>
      </c>
      <c r="E67" s="72" t="s">
        <v>189</v>
      </c>
      <c r="F67" s="73" t="s">
        <v>189</v>
      </c>
      <c r="G67" s="78">
        <f>0.4767</f>
        <v>0.47670000000000001</v>
      </c>
      <c r="H67" s="79">
        <f>0.4593</f>
        <v>0.45929999999999999</v>
      </c>
      <c r="I67" s="79">
        <f>0.4228</f>
        <v>0.42280000000000001</v>
      </c>
      <c r="J67" s="79">
        <f>0.3789</f>
        <v>0.37890000000000001</v>
      </c>
      <c r="K67" s="79">
        <f>0.3438</f>
        <v>0.34379999999999999</v>
      </c>
      <c r="L67" s="79">
        <f>0.2956</f>
        <v>0.29559999999999997</v>
      </c>
      <c r="M67" s="79">
        <f>0.2476</f>
        <v>0.24759999999999999</v>
      </c>
      <c r="N67" s="79">
        <f>0.2038</f>
        <v>0.20380000000000001</v>
      </c>
      <c r="O67" s="79">
        <f>0.1641</f>
        <v>0.1641</v>
      </c>
      <c r="P67" s="79">
        <f>0.1225</f>
        <v>0.1225</v>
      </c>
      <c r="Q67" s="79">
        <f>0.0871</f>
        <v>8.7099999999999997E-2</v>
      </c>
      <c r="R67" s="79">
        <f>0.0536</f>
        <v>5.3600000000000002E-2</v>
      </c>
      <c r="S67" s="79">
        <f>0.0218</f>
        <v>2.18E-2</v>
      </c>
      <c r="T67" s="79">
        <f>0</f>
        <v>0</v>
      </c>
    </row>
    <row r="68" spans="1:20" ht="94.5" customHeight="1">
      <c r="A68" s="53" t="s">
        <v>213</v>
      </c>
      <c r="B68" s="54" t="s">
        <v>214</v>
      </c>
      <c r="C68" s="71" t="s">
        <v>189</v>
      </c>
      <c r="D68" s="72" t="s">
        <v>189</v>
      </c>
      <c r="E68" s="72" t="s">
        <v>189</v>
      </c>
      <c r="F68" s="73" t="s">
        <v>189</v>
      </c>
      <c r="G68" s="78">
        <f>0.0464</f>
        <v>4.6399999999999997E-2</v>
      </c>
      <c r="H68" s="79">
        <f>0.0425</f>
        <v>4.2500000000000003E-2</v>
      </c>
      <c r="I68" s="79">
        <f>0.0412</f>
        <v>4.1200000000000001E-2</v>
      </c>
      <c r="J68" s="79">
        <f>0.0479</f>
        <v>4.7899999999999998E-2</v>
      </c>
      <c r="K68" s="79">
        <f>0.0448</f>
        <v>4.48E-2</v>
      </c>
      <c r="L68" s="79">
        <f>0.0496</f>
        <v>4.9599999999999998E-2</v>
      </c>
      <c r="M68" s="79">
        <f>0.0516</f>
        <v>5.16E-2</v>
      </c>
      <c r="N68" s="79">
        <f>0.0462</f>
        <v>4.6199999999999998E-2</v>
      </c>
      <c r="O68" s="79">
        <f>0.0423</f>
        <v>4.2299999999999997E-2</v>
      </c>
      <c r="P68" s="79">
        <f>0.045</f>
        <v>4.4999999999999998E-2</v>
      </c>
      <c r="Q68" s="79">
        <f>0.0383</f>
        <v>3.8300000000000001E-2</v>
      </c>
      <c r="R68" s="79">
        <f>0.0368</f>
        <v>3.6799999999999999E-2</v>
      </c>
      <c r="S68" s="79">
        <f>0.0353</f>
        <v>3.5299999999999998E-2</v>
      </c>
      <c r="T68" s="79">
        <f>0.0243</f>
        <v>2.4299999999999999E-2</v>
      </c>
    </row>
    <row r="69" spans="1:20" ht="108" customHeight="1">
      <c r="A69" s="53" t="s">
        <v>215</v>
      </c>
      <c r="B69" s="54" t="s">
        <v>216</v>
      </c>
      <c r="C69" s="71" t="s">
        <v>189</v>
      </c>
      <c r="D69" s="72" t="s">
        <v>189</v>
      </c>
      <c r="E69" s="72" t="s">
        <v>189</v>
      </c>
      <c r="F69" s="73" t="s">
        <v>189</v>
      </c>
      <c r="G69" s="83" t="str">
        <f>IF(G$68&lt;=G$63,"Spełniona","Nie spełniona")</f>
        <v>Spełniona</v>
      </c>
      <c r="H69" s="84" t="str">
        <f>IF(H$68&lt;=H$63,"Spełniona","Nie spełniona")</f>
        <v>Spełniona</v>
      </c>
      <c r="I69" s="84" t="str">
        <f>IF(I$68&lt;=I$63,"Spełniona","Nie spełniona")</f>
        <v>Nie spełniona</v>
      </c>
      <c r="J69" s="84" t="str">
        <f>IF(J$68&lt;=J$63,"Spełniona","Nie spełniona")</f>
        <v>Nie spełniona</v>
      </c>
      <c r="K69" s="84" t="str">
        <f>IF(K$68&lt;=K$63,"Spełniona","Nie spełniona")</f>
        <v>Spełniona</v>
      </c>
      <c r="L69" s="84" t="str">
        <f>IF(L$68&lt;=L$63,"Spełniona","Nie spełniona")</f>
        <v>Spełniona</v>
      </c>
      <c r="M69" s="84" t="str">
        <f>IF(M$68&lt;=M$63,"Spełniona","Nie spełniona")</f>
        <v>Spełniona</v>
      </c>
      <c r="N69" s="84" t="str">
        <f>IF(N$68&lt;=N$63,"Spełniona","Nie spełniona")</f>
        <v>Spełniona</v>
      </c>
      <c r="O69" s="84" t="str">
        <f>IF(O$68&lt;=O$63,"Spełniona","Nie spełniona")</f>
        <v>Spełniona</v>
      </c>
      <c r="P69" s="84" t="str">
        <f>IF(P$68&lt;=P$63,"Spełniona","Nie spełniona")</f>
        <v>Spełniona</v>
      </c>
      <c r="Q69" s="84" t="str">
        <f>IF(Q$68&lt;=Q$63,"Spełniona","Nie spełniona")</f>
        <v>Spełniona</v>
      </c>
      <c r="R69" s="84" t="str">
        <f>IF(R$68&lt;=R$63,"Spełniona","Nie spełniona")</f>
        <v>Spełniona</v>
      </c>
      <c r="S69" s="84" t="str">
        <f>IF(S$68&lt;=S$63,"Spełniona","Nie spełniona")</f>
        <v>Spełniona</v>
      </c>
      <c r="T69" s="84" t="str">
        <f>IF(T$68&lt;=T$63,"Spełniona","Nie spełniona")</f>
        <v>Spełniona</v>
      </c>
    </row>
    <row r="70" spans="1:20" ht="108" customHeight="1">
      <c r="A70" s="53" t="s">
        <v>217</v>
      </c>
      <c r="B70" s="60" t="s">
        <v>218</v>
      </c>
      <c r="C70" s="71" t="s">
        <v>189</v>
      </c>
      <c r="D70" s="72" t="s">
        <v>189</v>
      </c>
      <c r="E70" s="72" t="s">
        <v>189</v>
      </c>
      <c r="F70" s="73" t="s">
        <v>189</v>
      </c>
      <c r="G70" s="83" t="str">
        <f>IF(G$68&lt;=G$64,"Spełniona","Nie spełniona")</f>
        <v>Spełniona</v>
      </c>
      <c r="H70" s="84" t="str">
        <f>IF(H$68&lt;=H$64,"Spełniona","Nie spełniona")</f>
        <v>Spełniona</v>
      </c>
      <c r="I70" s="84" t="str">
        <f>IF(I$68&lt;=I$64,"Spełniona","Nie spełniona")</f>
        <v>Nie spełniona</v>
      </c>
      <c r="J70" s="84" t="str">
        <f>IF(J$68&lt;=J$64,"Spełniona","Nie spełniona")</f>
        <v>Nie spełniona</v>
      </c>
      <c r="K70" s="84" t="str">
        <f>IF(K$68&lt;=K$64,"Spełniona","Nie spełniona")</f>
        <v>Spełniona</v>
      </c>
      <c r="L70" s="84" t="str">
        <f>IF(L$68&lt;=L$64,"Spełniona","Nie spełniona")</f>
        <v>Spełniona</v>
      </c>
      <c r="M70" s="84" t="str">
        <f>IF(M$68&lt;=M$64,"Spełniona","Nie spełniona")</f>
        <v>Spełniona</v>
      </c>
      <c r="N70" s="84" t="str">
        <f>IF(N$68&lt;=N$64,"Spełniona","Nie spełniona")</f>
        <v>Spełniona</v>
      </c>
      <c r="O70" s="84" t="str">
        <f>IF(O$68&lt;=O$64,"Spełniona","Nie spełniona")</f>
        <v>Spełniona</v>
      </c>
      <c r="P70" s="84" t="str">
        <f>IF(P$68&lt;=P$64,"Spełniona","Nie spełniona")</f>
        <v>Spełniona</v>
      </c>
      <c r="Q70" s="84" t="str">
        <f>IF(Q$68&lt;=Q$64,"Spełniona","Nie spełniona")</f>
        <v>Spełniona</v>
      </c>
      <c r="R70" s="84" t="str">
        <f>IF(R$68&lt;=R$64,"Spełniona","Nie spełniona")</f>
        <v>Spełniona</v>
      </c>
      <c r="S70" s="84" t="str">
        <f>IF(S$68&lt;=S$64,"Spełniona","Nie spełniona")</f>
        <v>Spełniona</v>
      </c>
      <c r="T70" s="84" t="str">
        <f>IF(T$68&lt;=T$64,"Spełniona","Nie spełniona")</f>
        <v>Spełniona</v>
      </c>
    </row>
    <row r="71" spans="1:20" ht="45.75" customHeight="1">
      <c r="A71" s="62">
        <v>9</v>
      </c>
      <c r="B71" s="63" t="s">
        <v>219</v>
      </c>
      <c r="C71" s="71" t="s">
        <v>189</v>
      </c>
      <c r="D71" s="72" t="s">
        <v>189</v>
      </c>
      <c r="E71" s="72" t="s">
        <v>189</v>
      </c>
      <c r="F71" s="73" t="s">
        <v>189</v>
      </c>
      <c r="G71" s="74" t="s">
        <v>189</v>
      </c>
      <c r="H71" s="75" t="s">
        <v>189</v>
      </c>
      <c r="I71" s="75" t="s">
        <v>189</v>
      </c>
      <c r="J71" s="75" t="s">
        <v>189</v>
      </c>
      <c r="K71" s="75" t="s">
        <v>189</v>
      </c>
      <c r="L71" s="75" t="s">
        <v>189</v>
      </c>
      <c r="M71" s="75" t="s">
        <v>189</v>
      </c>
      <c r="N71" s="75" t="s">
        <v>189</v>
      </c>
      <c r="O71" s="75" t="s">
        <v>189</v>
      </c>
      <c r="P71" s="75" t="s">
        <v>189</v>
      </c>
      <c r="Q71" s="75" t="s">
        <v>189</v>
      </c>
      <c r="R71" s="75" t="s">
        <v>189</v>
      </c>
      <c r="S71" s="75" t="s">
        <v>189</v>
      </c>
      <c r="T71" s="75" t="s">
        <v>189</v>
      </c>
    </row>
    <row r="72" spans="1:20" ht="46.5" customHeight="1">
      <c r="A72" s="53" t="s">
        <v>220</v>
      </c>
      <c r="B72" s="54" t="s">
        <v>221</v>
      </c>
      <c r="C72" s="55">
        <f>3845386.39</f>
        <v>3845386.39</v>
      </c>
      <c r="D72" s="56">
        <f>2512827.65</f>
        <v>2512827.65</v>
      </c>
      <c r="E72" s="56">
        <f>1130396</f>
        <v>1130396</v>
      </c>
      <c r="F72" s="57">
        <f>1130396</f>
        <v>1130396</v>
      </c>
      <c r="G72" s="58">
        <f>644577</f>
        <v>644577</v>
      </c>
      <c r="H72" s="59">
        <f>193653</f>
        <v>193653</v>
      </c>
      <c r="I72" s="59">
        <f>0</f>
        <v>0</v>
      </c>
      <c r="J72" s="59">
        <f>0</f>
        <v>0</v>
      </c>
      <c r="K72" s="59">
        <f>0</f>
        <v>0</v>
      </c>
      <c r="L72" s="59">
        <f>0</f>
        <v>0</v>
      </c>
      <c r="M72" s="59">
        <f>0</f>
        <v>0</v>
      </c>
      <c r="N72" s="59">
        <f>0</f>
        <v>0</v>
      </c>
      <c r="O72" s="59">
        <f>0</f>
        <v>0</v>
      </c>
      <c r="P72" s="59">
        <f>0</f>
        <v>0</v>
      </c>
      <c r="Q72" s="59">
        <f>0</f>
        <v>0</v>
      </c>
      <c r="R72" s="59">
        <f>0</f>
        <v>0</v>
      </c>
      <c r="S72" s="59">
        <f>0</f>
        <v>0</v>
      </c>
      <c r="T72" s="59">
        <f>0</f>
        <v>0</v>
      </c>
    </row>
    <row r="73" spans="1:20" ht="57.75" customHeight="1">
      <c r="A73" s="53" t="s">
        <v>222</v>
      </c>
      <c r="B73" s="60" t="s">
        <v>223</v>
      </c>
      <c r="C73" s="55">
        <f>3845386.39</f>
        <v>3845386.39</v>
      </c>
      <c r="D73" s="56">
        <f>2512827.65</f>
        <v>2512827.65</v>
      </c>
      <c r="E73" s="56">
        <f>1130396</f>
        <v>1130396</v>
      </c>
      <c r="F73" s="57">
        <f>1130396</f>
        <v>1130396</v>
      </c>
      <c r="G73" s="58">
        <f>644577</f>
        <v>644577</v>
      </c>
      <c r="H73" s="59">
        <f>193653</f>
        <v>193653</v>
      </c>
      <c r="I73" s="59">
        <f>0</f>
        <v>0</v>
      </c>
      <c r="J73" s="59">
        <f>0</f>
        <v>0</v>
      </c>
      <c r="K73" s="59">
        <f>0</f>
        <v>0</v>
      </c>
      <c r="L73" s="59">
        <f>0</f>
        <v>0</v>
      </c>
      <c r="M73" s="59">
        <f>0</f>
        <v>0</v>
      </c>
      <c r="N73" s="59">
        <f>0</f>
        <v>0</v>
      </c>
      <c r="O73" s="59">
        <f>0</f>
        <v>0</v>
      </c>
      <c r="P73" s="59">
        <f>0</f>
        <v>0</v>
      </c>
      <c r="Q73" s="59">
        <f>0</f>
        <v>0</v>
      </c>
      <c r="R73" s="59">
        <f>0</f>
        <v>0</v>
      </c>
      <c r="S73" s="59">
        <f>0</f>
        <v>0</v>
      </c>
      <c r="T73" s="59">
        <f>0</f>
        <v>0</v>
      </c>
    </row>
    <row r="74" spans="1:20" ht="20.25" customHeight="1">
      <c r="A74" s="53" t="s">
        <v>224</v>
      </c>
      <c r="B74" s="61" t="s">
        <v>225</v>
      </c>
      <c r="C74" s="55">
        <f>3604906.41</f>
        <v>3604906.41</v>
      </c>
      <c r="D74" s="56">
        <f>2223866.69</f>
        <v>2223866.69</v>
      </c>
      <c r="E74" s="56">
        <f>1097810</f>
        <v>1097810</v>
      </c>
      <c r="F74" s="57">
        <f>1097810</f>
        <v>1097810</v>
      </c>
      <c r="G74" s="58">
        <f>628755</f>
        <v>628755</v>
      </c>
      <c r="H74" s="59">
        <f>193653</f>
        <v>193653</v>
      </c>
      <c r="I74" s="59">
        <f>0</f>
        <v>0</v>
      </c>
      <c r="J74" s="59">
        <f>0</f>
        <v>0</v>
      </c>
      <c r="K74" s="59">
        <f>0</f>
        <v>0</v>
      </c>
      <c r="L74" s="59">
        <f>0</f>
        <v>0</v>
      </c>
      <c r="M74" s="59">
        <f>0</f>
        <v>0</v>
      </c>
      <c r="N74" s="59">
        <f>0</f>
        <v>0</v>
      </c>
      <c r="O74" s="59">
        <f>0</f>
        <v>0</v>
      </c>
      <c r="P74" s="59">
        <f>0</f>
        <v>0</v>
      </c>
      <c r="Q74" s="59">
        <f>0</f>
        <v>0</v>
      </c>
      <c r="R74" s="59">
        <f>0</f>
        <v>0</v>
      </c>
      <c r="S74" s="59">
        <f>0</f>
        <v>0</v>
      </c>
      <c r="T74" s="59">
        <f>0</f>
        <v>0</v>
      </c>
    </row>
    <row r="75" spans="1:20" ht="45" customHeight="1">
      <c r="A75" s="53" t="s">
        <v>226</v>
      </c>
      <c r="B75" s="54" t="s">
        <v>227</v>
      </c>
      <c r="C75" s="55">
        <f>0</f>
        <v>0</v>
      </c>
      <c r="D75" s="56">
        <f>0</f>
        <v>0</v>
      </c>
      <c r="E75" s="56">
        <f>0</f>
        <v>0</v>
      </c>
      <c r="F75" s="57">
        <f>0</f>
        <v>0</v>
      </c>
      <c r="G75" s="58">
        <f>0</f>
        <v>0</v>
      </c>
      <c r="H75" s="59">
        <f>0</f>
        <v>0</v>
      </c>
      <c r="I75" s="59">
        <f>0</f>
        <v>0</v>
      </c>
      <c r="J75" s="59">
        <f>0</f>
        <v>0</v>
      </c>
      <c r="K75" s="59">
        <f>0</f>
        <v>0</v>
      </c>
      <c r="L75" s="59">
        <f>0</f>
        <v>0</v>
      </c>
      <c r="M75" s="59">
        <f>0</f>
        <v>0</v>
      </c>
      <c r="N75" s="59">
        <f>0</f>
        <v>0</v>
      </c>
      <c r="O75" s="59">
        <f>0</f>
        <v>0</v>
      </c>
      <c r="P75" s="59">
        <f>0</f>
        <v>0</v>
      </c>
      <c r="Q75" s="59">
        <f>0</f>
        <v>0</v>
      </c>
      <c r="R75" s="59">
        <f>0</f>
        <v>0</v>
      </c>
      <c r="S75" s="59">
        <f>0</f>
        <v>0</v>
      </c>
      <c r="T75" s="59">
        <f>0</f>
        <v>0</v>
      </c>
    </row>
    <row r="76" spans="1:20" ht="55.5" customHeight="1">
      <c r="A76" s="53" t="s">
        <v>228</v>
      </c>
      <c r="B76" s="60" t="s">
        <v>229</v>
      </c>
      <c r="C76" s="55">
        <f>0</f>
        <v>0</v>
      </c>
      <c r="D76" s="56">
        <f>0</f>
        <v>0</v>
      </c>
      <c r="E76" s="56">
        <f>0</f>
        <v>0</v>
      </c>
      <c r="F76" s="57">
        <f>0</f>
        <v>0</v>
      </c>
      <c r="G76" s="58">
        <f>0</f>
        <v>0</v>
      </c>
      <c r="H76" s="59">
        <f>0</f>
        <v>0</v>
      </c>
      <c r="I76" s="59">
        <f>0</f>
        <v>0</v>
      </c>
      <c r="J76" s="59">
        <f>0</f>
        <v>0</v>
      </c>
      <c r="K76" s="59">
        <f>0</f>
        <v>0</v>
      </c>
      <c r="L76" s="59">
        <f>0</f>
        <v>0</v>
      </c>
      <c r="M76" s="59">
        <f>0</f>
        <v>0</v>
      </c>
      <c r="N76" s="59">
        <f>0</f>
        <v>0</v>
      </c>
      <c r="O76" s="59">
        <f>0</f>
        <v>0</v>
      </c>
      <c r="P76" s="59">
        <f>0</f>
        <v>0</v>
      </c>
      <c r="Q76" s="59">
        <f>0</f>
        <v>0</v>
      </c>
      <c r="R76" s="59">
        <f>0</f>
        <v>0</v>
      </c>
      <c r="S76" s="59">
        <f>0</f>
        <v>0</v>
      </c>
      <c r="T76" s="59">
        <f>0</f>
        <v>0</v>
      </c>
    </row>
    <row r="77" spans="1:20" ht="17.25" customHeight="1">
      <c r="A77" s="53" t="s">
        <v>230</v>
      </c>
      <c r="B77" s="61" t="s">
        <v>225</v>
      </c>
      <c r="C77" s="55">
        <f>0</f>
        <v>0</v>
      </c>
      <c r="D77" s="56">
        <f>0</f>
        <v>0</v>
      </c>
      <c r="E77" s="56">
        <f>0</f>
        <v>0</v>
      </c>
      <c r="F77" s="57">
        <f>0</f>
        <v>0</v>
      </c>
      <c r="G77" s="58">
        <f>0</f>
        <v>0</v>
      </c>
      <c r="H77" s="59">
        <f>0</f>
        <v>0</v>
      </c>
      <c r="I77" s="59">
        <f>0</f>
        <v>0</v>
      </c>
      <c r="J77" s="59">
        <f>0</f>
        <v>0</v>
      </c>
      <c r="K77" s="59">
        <f>0</f>
        <v>0</v>
      </c>
      <c r="L77" s="59">
        <f>0</f>
        <v>0</v>
      </c>
      <c r="M77" s="59">
        <f>0</f>
        <v>0</v>
      </c>
      <c r="N77" s="59">
        <f>0</f>
        <v>0</v>
      </c>
      <c r="O77" s="59">
        <f>0</f>
        <v>0</v>
      </c>
      <c r="P77" s="59">
        <f>0</f>
        <v>0</v>
      </c>
      <c r="Q77" s="59">
        <f>0</f>
        <v>0</v>
      </c>
      <c r="R77" s="59">
        <f>0</f>
        <v>0</v>
      </c>
      <c r="S77" s="59">
        <f>0</f>
        <v>0</v>
      </c>
      <c r="T77" s="59">
        <f>0</f>
        <v>0</v>
      </c>
    </row>
    <row r="78" spans="1:20" ht="48" customHeight="1">
      <c r="A78" s="53" t="s">
        <v>231</v>
      </c>
      <c r="B78" s="54" t="s">
        <v>232</v>
      </c>
      <c r="C78" s="55">
        <f>2856622.21</f>
        <v>2856622.21</v>
      </c>
      <c r="D78" s="56">
        <f>2287076.65</f>
        <v>2287076.65</v>
      </c>
      <c r="E78" s="56">
        <f>2974423</f>
        <v>2974423</v>
      </c>
      <c r="F78" s="57">
        <f>2974423</f>
        <v>2974423</v>
      </c>
      <c r="G78" s="58">
        <f>905536</f>
        <v>905536</v>
      </c>
      <c r="H78" s="59">
        <f>242325</f>
        <v>242325</v>
      </c>
      <c r="I78" s="59">
        <f>0</f>
        <v>0</v>
      </c>
      <c r="J78" s="59">
        <f>0</f>
        <v>0</v>
      </c>
      <c r="K78" s="59">
        <f>0</f>
        <v>0</v>
      </c>
      <c r="L78" s="59">
        <f>0</f>
        <v>0</v>
      </c>
      <c r="M78" s="59">
        <f>0</f>
        <v>0</v>
      </c>
      <c r="N78" s="59">
        <f>0</f>
        <v>0</v>
      </c>
      <c r="O78" s="59">
        <f>0</f>
        <v>0</v>
      </c>
      <c r="P78" s="59">
        <f>0</f>
        <v>0</v>
      </c>
      <c r="Q78" s="59">
        <f>0</f>
        <v>0</v>
      </c>
      <c r="R78" s="59">
        <f>0</f>
        <v>0</v>
      </c>
      <c r="S78" s="59">
        <f>0</f>
        <v>0</v>
      </c>
      <c r="T78" s="59">
        <f>0</f>
        <v>0</v>
      </c>
    </row>
    <row r="79" spans="1:20" ht="58.5" customHeight="1">
      <c r="A79" s="53" t="s">
        <v>233</v>
      </c>
      <c r="B79" s="60" t="s">
        <v>234</v>
      </c>
      <c r="C79" s="55">
        <f>2856622.21</f>
        <v>2856622.21</v>
      </c>
      <c r="D79" s="56">
        <f>2287076.65</f>
        <v>2287076.65</v>
      </c>
      <c r="E79" s="56">
        <f>2974423</f>
        <v>2974423</v>
      </c>
      <c r="F79" s="57">
        <f>2974423</f>
        <v>2974423</v>
      </c>
      <c r="G79" s="58">
        <f>905536</f>
        <v>905536</v>
      </c>
      <c r="H79" s="59">
        <f>242325</f>
        <v>242325</v>
      </c>
      <c r="I79" s="59">
        <f>0</f>
        <v>0</v>
      </c>
      <c r="J79" s="59">
        <f>0</f>
        <v>0</v>
      </c>
      <c r="K79" s="59">
        <f>0</f>
        <v>0</v>
      </c>
      <c r="L79" s="59">
        <f>0</f>
        <v>0</v>
      </c>
      <c r="M79" s="59">
        <f>0</f>
        <v>0</v>
      </c>
      <c r="N79" s="59">
        <f>0</f>
        <v>0</v>
      </c>
      <c r="O79" s="59">
        <f>0</f>
        <v>0</v>
      </c>
      <c r="P79" s="59">
        <f>0</f>
        <v>0</v>
      </c>
      <c r="Q79" s="59">
        <f>0</f>
        <v>0</v>
      </c>
      <c r="R79" s="59">
        <f>0</f>
        <v>0</v>
      </c>
      <c r="S79" s="59">
        <f>0</f>
        <v>0</v>
      </c>
      <c r="T79" s="59">
        <f>0</f>
        <v>0</v>
      </c>
    </row>
    <row r="80" spans="1:20" ht="31.5" customHeight="1">
      <c r="A80" s="53" t="s">
        <v>235</v>
      </c>
      <c r="B80" s="61" t="s">
        <v>236</v>
      </c>
      <c r="C80" s="55">
        <f>2541514.82</f>
        <v>2541514.8199999998</v>
      </c>
      <c r="D80" s="56">
        <f>1942945.36</f>
        <v>1942945.36</v>
      </c>
      <c r="E80" s="56">
        <f>2694381</f>
        <v>2694381</v>
      </c>
      <c r="F80" s="57">
        <f>2694381</f>
        <v>2694381</v>
      </c>
      <c r="G80" s="58">
        <f>816451</f>
        <v>816451</v>
      </c>
      <c r="H80" s="59">
        <f>197259</f>
        <v>197259</v>
      </c>
      <c r="I80" s="59">
        <f>0</f>
        <v>0</v>
      </c>
      <c r="J80" s="59">
        <f>0</f>
        <v>0</v>
      </c>
      <c r="K80" s="59">
        <f>0</f>
        <v>0</v>
      </c>
      <c r="L80" s="59">
        <f>0</f>
        <v>0</v>
      </c>
      <c r="M80" s="59">
        <f>0</f>
        <v>0</v>
      </c>
      <c r="N80" s="59">
        <f>0</f>
        <v>0</v>
      </c>
      <c r="O80" s="59">
        <f>0</f>
        <v>0</v>
      </c>
      <c r="P80" s="59">
        <f>0</f>
        <v>0</v>
      </c>
      <c r="Q80" s="59">
        <f>0</f>
        <v>0</v>
      </c>
      <c r="R80" s="59">
        <f>0</f>
        <v>0</v>
      </c>
      <c r="S80" s="59">
        <f>0</f>
        <v>0</v>
      </c>
      <c r="T80" s="59">
        <f>0</f>
        <v>0</v>
      </c>
    </row>
    <row r="81" spans="1:20" ht="47.25" customHeight="1">
      <c r="A81" s="53" t="s">
        <v>237</v>
      </c>
      <c r="B81" s="54" t="s">
        <v>238</v>
      </c>
      <c r="C81" s="55">
        <f>0</f>
        <v>0</v>
      </c>
      <c r="D81" s="56">
        <f>0</f>
        <v>0</v>
      </c>
      <c r="E81" s="56">
        <f>89666</f>
        <v>89666</v>
      </c>
      <c r="F81" s="57">
        <f>8476</f>
        <v>8476</v>
      </c>
      <c r="G81" s="58">
        <f>53618</f>
        <v>53618</v>
      </c>
      <c r="H81" s="59">
        <f>0</f>
        <v>0</v>
      </c>
      <c r="I81" s="59">
        <f>0</f>
        <v>0</v>
      </c>
      <c r="J81" s="59">
        <f>0</f>
        <v>0</v>
      </c>
      <c r="K81" s="59">
        <f>0</f>
        <v>0</v>
      </c>
      <c r="L81" s="59">
        <f>0</f>
        <v>0</v>
      </c>
      <c r="M81" s="59">
        <f>0</f>
        <v>0</v>
      </c>
      <c r="N81" s="59">
        <f>0</f>
        <v>0</v>
      </c>
      <c r="O81" s="59">
        <f>0</f>
        <v>0</v>
      </c>
      <c r="P81" s="59">
        <f>0</f>
        <v>0</v>
      </c>
      <c r="Q81" s="59">
        <f>0</f>
        <v>0</v>
      </c>
      <c r="R81" s="59">
        <f>0</f>
        <v>0</v>
      </c>
      <c r="S81" s="59">
        <f>0</f>
        <v>0</v>
      </c>
      <c r="T81" s="59">
        <f>0</f>
        <v>0</v>
      </c>
    </row>
    <row r="82" spans="1:20" ht="51.75" customHeight="1">
      <c r="A82" s="53" t="s">
        <v>239</v>
      </c>
      <c r="B82" s="60" t="s">
        <v>240</v>
      </c>
      <c r="C82" s="55">
        <f>0</f>
        <v>0</v>
      </c>
      <c r="D82" s="56">
        <f>0</f>
        <v>0</v>
      </c>
      <c r="E82" s="56">
        <f>89666</f>
        <v>89666</v>
      </c>
      <c r="F82" s="57">
        <f>8476</f>
        <v>8476</v>
      </c>
      <c r="G82" s="58">
        <f>53618</f>
        <v>53618</v>
      </c>
      <c r="H82" s="59">
        <f>0</f>
        <v>0</v>
      </c>
      <c r="I82" s="59">
        <f>0</f>
        <v>0</v>
      </c>
      <c r="J82" s="59">
        <f>0</f>
        <v>0</v>
      </c>
      <c r="K82" s="59">
        <f>0</f>
        <v>0</v>
      </c>
      <c r="L82" s="59">
        <f>0</f>
        <v>0</v>
      </c>
      <c r="M82" s="59">
        <f>0</f>
        <v>0</v>
      </c>
      <c r="N82" s="59">
        <f>0</f>
        <v>0</v>
      </c>
      <c r="O82" s="59">
        <f>0</f>
        <v>0</v>
      </c>
      <c r="P82" s="59">
        <f>0</f>
        <v>0</v>
      </c>
      <c r="Q82" s="59">
        <f>0</f>
        <v>0</v>
      </c>
      <c r="R82" s="59">
        <f>0</f>
        <v>0</v>
      </c>
      <c r="S82" s="59">
        <f>0</f>
        <v>0</v>
      </c>
      <c r="T82" s="59">
        <f>0</f>
        <v>0</v>
      </c>
    </row>
    <row r="83" spans="1:20" ht="30.75" customHeight="1">
      <c r="A83" s="53" t="s">
        <v>241</v>
      </c>
      <c r="B83" s="61" t="s">
        <v>236</v>
      </c>
      <c r="C83" s="55">
        <f>0</f>
        <v>0</v>
      </c>
      <c r="D83" s="56">
        <f>0</f>
        <v>0</v>
      </c>
      <c r="E83" s="56">
        <f>0</f>
        <v>0</v>
      </c>
      <c r="F83" s="57">
        <f>0</f>
        <v>0</v>
      </c>
      <c r="G83" s="58">
        <f>0</f>
        <v>0</v>
      </c>
      <c r="H83" s="59">
        <f>0</f>
        <v>0</v>
      </c>
      <c r="I83" s="59">
        <f>0</f>
        <v>0</v>
      </c>
      <c r="J83" s="59">
        <f>0</f>
        <v>0</v>
      </c>
      <c r="K83" s="59">
        <f>0</f>
        <v>0</v>
      </c>
      <c r="L83" s="59">
        <f>0</f>
        <v>0</v>
      </c>
      <c r="M83" s="59">
        <f>0</f>
        <v>0</v>
      </c>
      <c r="N83" s="59">
        <f>0</f>
        <v>0</v>
      </c>
      <c r="O83" s="59">
        <f>0</f>
        <v>0</v>
      </c>
      <c r="P83" s="59">
        <f>0</f>
        <v>0</v>
      </c>
      <c r="Q83" s="59">
        <f>0</f>
        <v>0</v>
      </c>
      <c r="R83" s="59">
        <f>0</f>
        <v>0</v>
      </c>
      <c r="S83" s="59">
        <f>0</f>
        <v>0</v>
      </c>
      <c r="T83" s="59">
        <f>0</f>
        <v>0</v>
      </c>
    </row>
    <row r="84" spans="1:20" ht="31.5" customHeight="1">
      <c r="A84" s="62">
        <v>10</v>
      </c>
      <c r="B84" s="63" t="s">
        <v>242</v>
      </c>
      <c r="C84" s="71" t="s">
        <v>189</v>
      </c>
      <c r="D84" s="72" t="s">
        <v>189</v>
      </c>
      <c r="E84" s="72" t="s">
        <v>189</v>
      </c>
      <c r="F84" s="73" t="s">
        <v>189</v>
      </c>
      <c r="G84" s="74" t="s">
        <v>189</v>
      </c>
      <c r="H84" s="75" t="s">
        <v>189</v>
      </c>
      <c r="I84" s="75" t="s">
        <v>189</v>
      </c>
      <c r="J84" s="75" t="s">
        <v>189</v>
      </c>
      <c r="K84" s="75" t="s">
        <v>189</v>
      </c>
      <c r="L84" s="75" t="s">
        <v>189</v>
      </c>
      <c r="M84" s="75" t="s">
        <v>189</v>
      </c>
      <c r="N84" s="75" t="s">
        <v>189</v>
      </c>
      <c r="O84" s="75" t="s">
        <v>189</v>
      </c>
      <c r="P84" s="75" t="s">
        <v>189</v>
      </c>
      <c r="Q84" s="75" t="s">
        <v>189</v>
      </c>
      <c r="R84" s="75" t="s">
        <v>189</v>
      </c>
      <c r="S84" s="75" t="s">
        <v>189</v>
      </c>
      <c r="T84" s="75" t="s">
        <v>189</v>
      </c>
    </row>
    <row r="85" spans="1:20" ht="32.25" customHeight="1">
      <c r="A85" s="53" t="s">
        <v>243</v>
      </c>
      <c r="B85" s="85" t="s">
        <v>244</v>
      </c>
      <c r="C85" s="55">
        <f>15921743.49</f>
        <v>15921743.49</v>
      </c>
      <c r="D85" s="56">
        <f>14163254.87</f>
        <v>14163254.869999999</v>
      </c>
      <c r="E85" s="56">
        <f>16309346</f>
        <v>16309346</v>
      </c>
      <c r="F85" s="57">
        <f>16309346</f>
        <v>16309346</v>
      </c>
      <c r="G85" s="58">
        <f>27169457</f>
        <v>27169457</v>
      </c>
      <c r="H85" s="59">
        <f>12618788</f>
        <v>12618788</v>
      </c>
      <c r="I85" s="59">
        <f>8624463</f>
        <v>8624463</v>
      </c>
      <c r="J85" s="59">
        <f>3007408</f>
        <v>3007408</v>
      </c>
      <c r="K85" s="59">
        <f>2150000</f>
        <v>2150000</v>
      </c>
      <c r="L85" s="59">
        <f>2000000</f>
        <v>2000000</v>
      </c>
      <c r="M85" s="59">
        <f>3150000</f>
        <v>3150000</v>
      </c>
      <c r="N85" s="59">
        <f>0</f>
        <v>0</v>
      </c>
      <c r="O85" s="59">
        <f>0</f>
        <v>0</v>
      </c>
      <c r="P85" s="59">
        <f>0</f>
        <v>0</v>
      </c>
      <c r="Q85" s="59">
        <f>0</f>
        <v>0</v>
      </c>
      <c r="R85" s="59">
        <f>0</f>
        <v>0</v>
      </c>
      <c r="S85" s="59">
        <f>0</f>
        <v>0</v>
      </c>
      <c r="T85" s="59">
        <f>0</f>
        <v>0</v>
      </c>
    </row>
    <row r="86" spans="1:20" ht="18" customHeight="1">
      <c r="A86" s="53" t="s">
        <v>245</v>
      </c>
      <c r="B86" s="60" t="s">
        <v>246</v>
      </c>
      <c r="C86" s="55">
        <f>3176982.75</f>
        <v>3176982.75</v>
      </c>
      <c r="D86" s="56">
        <f>1970649.58</f>
        <v>1970649.58</v>
      </c>
      <c r="E86" s="56">
        <f>4175910</f>
        <v>4175910</v>
      </c>
      <c r="F86" s="57">
        <f>4175910</f>
        <v>4175910</v>
      </c>
      <c r="G86" s="58">
        <f>1855399</f>
        <v>1855399</v>
      </c>
      <c r="H86" s="59">
        <f>1028788</f>
        <v>1028788</v>
      </c>
      <c r="I86" s="59">
        <f>774463</f>
        <v>774463</v>
      </c>
      <c r="J86" s="59">
        <f>0</f>
        <v>0</v>
      </c>
      <c r="K86" s="59">
        <f>0</f>
        <v>0</v>
      </c>
      <c r="L86" s="59">
        <f>0</f>
        <v>0</v>
      </c>
      <c r="M86" s="59">
        <f>0</f>
        <v>0</v>
      </c>
      <c r="N86" s="59">
        <f>0</f>
        <v>0</v>
      </c>
      <c r="O86" s="59">
        <f>0</f>
        <v>0</v>
      </c>
      <c r="P86" s="59">
        <f>0</f>
        <v>0</v>
      </c>
      <c r="Q86" s="59">
        <f>0</f>
        <v>0</v>
      </c>
      <c r="R86" s="59">
        <f>0</f>
        <v>0</v>
      </c>
      <c r="S86" s="59">
        <f>0</f>
        <v>0</v>
      </c>
      <c r="T86" s="59">
        <f>0</f>
        <v>0</v>
      </c>
    </row>
    <row r="87" spans="1:20" ht="18" customHeight="1">
      <c r="A87" s="53" t="s">
        <v>247</v>
      </c>
      <c r="B87" s="60" t="s">
        <v>248</v>
      </c>
      <c r="C87" s="55">
        <f>12744760.74</f>
        <v>12744760.74</v>
      </c>
      <c r="D87" s="56">
        <f>12192605.29</f>
        <v>12192605.289999999</v>
      </c>
      <c r="E87" s="56">
        <f>12133436</f>
        <v>12133436</v>
      </c>
      <c r="F87" s="57">
        <f>12133436</f>
        <v>12133436</v>
      </c>
      <c r="G87" s="58">
        <f>25314058</f>
        <v>25314058</v>
      </c>
      <c r="H87" s="59">
        <f>11590000</f>
        <v>11590000</v>
      </c>
      <c r="I87" s="59">
        <f>7850000</f>
        <v>7850000</v>
      </c>
      <c r="J87" s="59">
        <f>3007408</f>
        <v>3007408</v>
      </c>
      <c r="K87" s="59">
        <f>2150000</f>
        <v>2150000</v>
      </c>
      <c r="L87" s="59">
        <f>2000000</f>
        <v>2000000</v>
      </c>
      <c r="M87" s="59">
        <f>3150000</f>
        <v>3150000</v>
      </c>
      <c r="N87" s="59">
        <f>0</f>
        <v>0</v>
      </c>
      <c r="O87" s="59">
        <f>0</f>
        <v>0</v>
      </c>
      <c r="P87" s="59">
        <f>0</f>
        <v>0</v>
      </c>
      <c r="Q87" s="59">
        <f>0</f>
        <v>0</v>
      </c>
      <c r="R87" s="59">
        <f>0</f>
        <v>0</v>
      </c>
      <c r="S87" s="59">
        <f>0</f>
        <v>0</v>
      </c>
      <c r="T87" s="59">
        <f>0</f>
        <v>0</v>
      </c>
    </row>
    <row r="88" spans="1:20" ht="42.75" customHeight="1">
      <c r="A88" s="53" t="s">
        <v>249</v>
      </c>
      <c r="B88" s="54" t="s">
        <v>250</v>
      </c>
      <c r="C88" s="55">
        <f>0</f>
        <v>0</v>
      </c>
      <c r="D88" s="56">
        <f>0</f>
        <v>0</v>
      </c>
      <c r="E88" s="56">
        <f>0</f>
        <v>0</v>
      </c>
      <c r="F88" s="57">
        <f>0</f>
        <v>0</v>
      </c>
      <c r="G88" s="58">
        <f>0</f>
        <v>0</v>
      </c>
      <c r="H88" s="59">
        <f>0</f>
        <v>0</v>
      </c>
      <c r="I88" s="59">
        <f>0</f>
        <v>0</v>
      </c>
      <c r="J88" s="59">
        <f>0</f>
        <v>0</v>
      </c>
      <c r="K88" s="59">
        <f>0</f>
        <v>0</v>
      </c>
      <c r="L88" s="59">
        <f>0</f>
        <v>0</v>
      </c>
      <c r="M88" s="59">
        <f>0</f>
        <v>0</v>
      </c>
      <c r="N88" s="59">
        <f>0</f>
        <v>0</v>
      </c>
      <c r="O88" s="59">
        <f>0</f>
        <v>0</v>
      </c>
      <c r="P88" s="59">
        <f>0</f>
        <v>0</v>
      </c>
      <c r="Q88" s="59">
        <f>0</f>
        <v>0</v>
      </c>
      <c r="R88" s="59">
        <f>0</f>
        <v>0</v>
      </c>
      <c r="S88" s="59">
        <f>0</f>
        <v>0</v>
      </c>
      <c r="T88" s="59">
        <f>0</f>
        <v>0</v>
      </c>
    </row>
    <row r="89" spans="1:20" ht="57" customHeight="1">
      <c r="A89" s="53" t="s">
        <v>251</v>
      </c>
      <c r="B89" s="54" t="s">
        <v>252</v>
      </c>
      <c r="C89" s="55">
        <f>654761.88</f>
        <v>654761.88</v>
      </c>
      <c r="D89" s="56">
        <f>654761.88</f>
        <v>654761.88</v>
      </c>
      <c r="E89" s="56">
        <f>654763</f>
        <v>654763</v>
      </c>
      <c r="F89" s="57">
        <f>654763</f>
        <v>654763</v>
      </c>
      <c r="G89" s="58">
        <f>0</f>
        <v>0</v>
      </c>
      <c r="H89" s="59">
        <f>0</f>
        <v>0</v>
      </c>
      <c r="I89" s="59">
        <f>0</f>
        <v>0</v>
      </c>
      <c r="J89" s="59">
        <f>0</f>
        <v>0</v>
      </c>
      <c r="K89" s="59">
        <f>0</f>
        <v>0</v>
      </c>
      <c r="L89" s="59">
        <f>0</f>
        <v>0</v>
      </c>
      <c r="M89" s="59">
        <f>0</f>
        <v>0</v>
      </c>
      <c r="N89" s="59">
        <f>0</f>
        <v>0</v>
      </c>
      <c r="O89" s="59">
        <f>0</f>
        <v>0</v>
      </c>
      <c r="P89" s="59">
        <f>0</f>
        <v>0</v>
      </c>
      <c r="Q89" s="59">
        <f>0</f>
        <v>0</v>
      </c>
      <c r="R89" s="59">
        <f>0</f>
        <v>0</v>
      </c>
      <c r="S89" s="59">
        <f>0</f>
        <v>0</v>
      </c>
      <c r="T89" s="59">
        <f>0</f>
        <v>0</v>
      </c>
    </row>
    <row r="90" spans="1:20" ht="69.75" customHeight="1">
      <c r="A90" s="53" t="s">
        <v>253</v>
      </c>
      <c r="B90" s="54" t="s">
        <v>254</v>
      </c>
      <c r="C90" s="55">
        <f>0</f>
        <v>0</v>
      </c>
      <c r="D90" s="56">
        <f>0</f>
        <v>0</v>
      </c>
      <c r="E90" s="56">
        <f>0</f>
        <v>0</v>
      </c>
      <c r="F90" s="57">
        <f>0</f>
        <v>0</v>
      </c>
      <c r="G90" s="58">
        <f>0</f>
        <v>0</v>
      </c>
      <c r="H90" s="59">
        <f>0</f>
        <v>0</v>
      </c>
      <c r="I90" s="59">
        <f>0</f>
        <v>0</v>
      </c>
      <c r="J90" s="59">
        <f>0</f>
        <v>0</v>
      </c>
      <c r="K90" s="59">
        <f>0</f>
        <v>0</v>
      </c>
      <c r="L90" s="59">
        <f>0</f>
        <v>0</v>
      </c>
      <c r="M90" s="59">
        <f>0</f>
        <v>0</v>
      </c>
      <c r="N90" s="59">
        <f>0</f>
        <v>0</v>
      </c>
      <c r="O90" s="59">
        <f>0</f>
        <v>0</v>
      </c>
      <c r="P90" s="59">
        <f>0</f>
        <v>0</v>
      </c>
      <c r="Q90" s="59">
        <f>0</f>
        <v>0</v>
      </c>
      <c r="R90" s="59">
        <f>0</f>
        <v>0</v>
      </c>
      <c r="S90" s="59">
        <f>0</f>
        <v>0</v>
      </c>
      <c r="T90" s="59">
        <f>0</f>
        <v>0</v>
      </c>
    </row>
    <row r="91" spans="1:20" ht="70.5" customHeight="1">
      <c r="A91" s="53" t="s">
        <v>255</v>
      </c>
      <c r="B91" s="54" t="s">
        <v>256</v>
      </c>
      <c r="C91" s="55">
        <f>1309523.93</f>
        <v>1309523.93</v>
      </c>
      <c r="D91" s="56">
        <f>654762.05</f>
        <v>654762.05000000005</v>
      </c>
      <c r="E91" s="56">
        <f>0</f>
        <v>0</v>
      </c>
      <c r="F91" s="57">
        <f>0</f>
        <v>0</v>
      </c>
      <c r="G91" s="58">
        <f>0</f>
        <v>0</v>
      </c>
      <c r="H91" s="59">
        <f>0</f>
        <v>0</v>
      </c>
      <c r="I91" s="59">
        <f>0</f>
        <v>0</v>
      </c>
      <c r="J91" s="59">
        <f>0</f>
        <v>0</v>
      </c>
      <c r="K91" s="59">
        <f>0</f>
        <v>0</v>
      </c>
      <c r="L91" s="59">
        <f>0</f>
        <v>0</v>
      </c>
      <c r="M91" s="59">
        <f>0</f>
        <v>0</v>
      </c>
      <c r="N91" s="59">
        <f>0</f>
        <v>0</v>
      </c>
      <c r="O91" s="59">
        <f>0</f>
        <v>0</v>
      </c>
      <c r="P91" s="59">
        <f>0</f>
        <v>0</v>
      </c>
      <c r="Q91" s="59">
        <f>0</f>
        <v>0</v>
      </c>
      <c r="R91" s="59">
        <f>0</f>
        <v>0</v>
      </c>
      <c r="S91" s="59">
        <f>0</f>
        <v>0</v>
      </c>
      <c r="T91" s="59">
        <f>0</f>
        <v>0</v>
      </c>
    </row>
    <row r="92" spans="1:20" ht="42" customHeight="1">
      <c r="A92" s="53" t="s">
        <v>257</v>
      </c>
      <c r="B92" s="54" t="s">
        <v>258</v>
      </c>
      <c r="C92" s="55">
        <f>5788270</f>
        <v>5788270</v>
      </c>
      <c r="D92" s="56">
        <f>5254612</f>
        <v>5254612</v>
      </c>
      <c r="E92" s="56">
        <f>4542000</f>
        <v>4542000</v>
      </c>
      <c r="F92" s="57">
        <f>4542000</f>
        <v>4542000</v>
      </c>
      <c r="G92" s="58">
        <f>4835000</f>
        <v>4835000</v>
      </c>
      <c r="H92" s="59">
        <f>4342000</f>
        <v>4342000</v>
      </c>
      <c r="I92" s="59">
        <f>4492000</f>
        <v>4492000</v>
      </c>
      <c r="J92" s="59">
        <f>5892000</f>
        <v>5892000</v>
      </c>
      <c r="K92" s="59">
        <f>5800000</f>
        <v>5800000</v>
      </c>
      <c r="L92" s="59">
        <f>7000000</f>
        <v>7000000</v>
      </c>
      <c r="M92" s="59">
        <f>7800000</f>
        <v>7800000</v>
      </c>
      <c r="N92" s="59">
        <f>7300000</f>
        <v>7300000</v>
      </c>
      <c r="O92" s="59">
        <f>7000000</f>
        <v>7000000</v>
      </c>
      <c r="P92" s="59">
        <f>7900000</f>
        <v>7900000</v>
      </c>
      <c r="Q92" s="59">
        <f>4500000</f>
        <v>4500000</v>
      </c>
      <c r="R92" s="59">
        <f>4500000</f>
        <v>4500000</v>
      </c>
      <c r="S92" s="59">
        <f>4500000</f>
        <v>4500000</v>
      </c>
      <c r="T92" s="59">
        <f>2500000</f>
        <v>2500000</v>
      </c>
    </row>
    <row r="93" spans="1:20" ht="18.75" customHeight="1">
      <c r="A93" s="53" t="s">
        <v>259</v>
      </c>
      <c r="B93" s="54" t="s">
        <v>260</v>
      </c>
      <c r="C93" s="55">
        <f>654761.88</f>
        <v>654761.88</v>
      </c>
      <c r="D93" s="56">
        <f>654761.88</f>
        <v>654761.88</v>
      </c>
      <c r="E93" s="56">
        <f>654762.05</f>
        <v>654762.05000000005</v>
      </c>
      <c r="F93" s="57">
        <f>654762.05</f>
        <v>654762.05000000005</v>
      </c>
      <c r="G93" s="58">
        <f>0</f>
        <v>0</v>
      </c>
      <c r="H93" s="59">
        <f>0</f>
        <v>0</v>
      </c>
      <c r="I93" s="59">
        <f>0</f>
        <v>0</v>
      </c>
      <c r="J93" s="59">
        <f>0</f>
        <v>0</v>
      </c>
      <c r="K93" s="59">
        <f>0</f>
        <v>0</v>
      </c>
      <c r="L93" s="59">
        <f>0</f>
        <v>0</v>
      </c>
      <c r="M93" s="59">
        <f>0</f>
        <v>0</v>
      </c>
      <c r="N93" s="59">
        <f>0</f>
        <v>0</v>
      </c>
      <c r="O93" s="59">
        <f>0</f>
        <v>0</v>
      </c>
      <c r="P93" s="59">
        <f>0</f>
        <v>0</v>
      </c>
      <c r="Q93" s="59">
        <f>0</f>
        <v>0</v>
      </c>
      <c r="R93" s="59">
        <f>0</f>
        <v>0</v>
      </c>
      <c r="S93" s="59">
        <f>0</f>
        <v>0</v>
      </c>
      <c r="T93" s="59">
        <f>0</f>
        <v>0</v>
      </c>
    </row>
    <row r="94" spans="1:20" ht="33.75" customHeight="1">
      <c r="A94" s="53" t="s">
        <v>261</v>
      </c>
      <c r="B94" s="60" t="s">
        <v>262</v>
      </c>
      <c r="C94" s="55">
        <f>0</f>
        <v>0</v>
      </c>
      <c r="D94" s="56">
        <f>0</f>
        <v>0</v>
      </c>
      <c r="E94" s="56">
        <f>0</f>
        <v>0</v>
      </c>
      <c r="F94" s="57">
        <f>0</f>
        <v>0</v>
      </c>
      <c r="G94" s="58">
        <f>0</f>
        <v>0</v>
      </c>
      <c r="H94" s="59">
        <f>0</f>
        <v>0</v>
      </c>
      <c r="I94" s="59">
        <f>0</f>
        <v>0</v>
      </c>
      <c r="J94" s="59">
        <f>0</f>
        <v>0</v>
      </c>
      <c r="K94" s="59">
        <f>0</f>
        <v>0</v>
      </c>
      <c r="L94" s="59">
        <f>0</f>
        <v>0</v>
      </c>
      <c r="M94" s="59">
        <f>0</f>
        <v>0</v>
      </c>
      <c r="N94" s="59">
        <f>0</f>
        <v>0</v>
      </c>
      <c r="O94" s="59">
        <f>0</f>
        <v>0</v>
      </c>
      <c r="P94" s="59">
        <f>0</f>
        <v>0</v>
      </c>
      <c r="Q94" s="59">
        <f>0</f>
        <v>0</v>
      </c>
      <c r="R94" s="59">
        <f>0</f>
        <v>0</v>
      </c>
      <c r="S94" s="59">
        <f>0</f>
        <v>0</v>
      </c>
      <c r="T94" s="59">
        <f>0</f>
        <v>0</v>
      </c>
    </row>
    <row r="95" spans="1:20" ht="32.25" customHeight="1">
      <c r="A95" s="53" t="s">
        <v>263</v>
      </c>
      <c r="B95" s="60" t="s">
        <v>264</v>
      </c>
      <c r="C95" s="55">
        <f>654761.88</f>
        <v>654761.88</v>
      </c>
      <c r="D95" s="56">
        <f>654761.88</f>
        <v>654761.88</v>
      </c>
      <c r="E95" s="56">
        <f>654762.05</f>
        <v>654762.05000000005</v>
      </c>
      <c r="F95" s="57">
        <f>654762.05</f>
        <v>654762.05000000005</v>
      </c>
      <c r="G95" s="58">
        <f>0</f>
        <v>0</v>
      </c>
      <c r="H95" s="59">
        <f>0</f>
        <v>0</v>
      </c>
      <c r="I95" s="59">
        <f>0</f>
        <v>0</v>
      </c>
      <c r="J95" s="59">
        <f>0</f>
        <v>0</v>
      </c>
      <c r="K95" s="59">
        <f>0</f>
        <v>0</v>
      </c>
      <c r="L95" s="59">
        <f>0</f>
        <v>0</v>
      </c>
      <c r="M95" s="59">
        <f>0</f>
        <v>0</v>
      </c>
      <c r="N95" s="59">
        <f>0</f>
        <v>0</v>
      </c>
      <c r="O95" s="59">
        <f>0</f>
        <v>0</v>
      </c>
      <c r="P95" s="59">
        <f>0</f>
        <v>0</v>
      </c>
      <c r="Q95" s="59">
        <f>0</f>
        <v>0</v>
      </c>
      <c r="R95" s="59">
        <f>0</f>
        <v>0</v>
      </c>
      <c r="S95" s="59">
        <f>0</f>
        <v>0</v>
      </c>
      <c r="T95" s="59">
        <f>0</f>
        <v>0</v>
      </c>
    </row>
    <row r="96" spans="1:20" ht="33.75" customHeight="1">
      <c r="A96" s="53" t="s">
        <v>265</v>
      </c>
      <c r="B96" s="61" t="s">
        <v>266</v>
      </c>
      <c r="C96" s="55">
        <f>0</f>
        <v>0</v>
      </c>
      <c r="D96" s="56">
        <f>0</f>
        <v>0</v>
      </c>
      <c r="E96" s="56">
        <f>0</f>
        <v>0</v>
      </c>
      <c r="F96" s="57">
        <f>0</f>
        <v>0</v>
      </c>
      <c r="G96" s="58">
        <f>0</f>
        <v>0</v>
      </c>
      <c r="H96" s="59">
        <f>0</f>
        <v>0</v>
      </c>
      <c r="I96" s="59">
        <f>0</f>
        <v>0</v>
      </c>
      <c r="J96" s="59">
        <f>0</f>
        <v>0</v>
      </c>
      <c r="K96" s="59">
        <f>0</f>
        <v>0</v>
      </c>
      <c r="L96" s="59">
        <f>0</f>
        <v>0</v>
      </c>
      <c r="M96" s="59">
        <f>0</f>
        <v>0</v>
      </c>
      <c r="N96" s="59">
        <f>0</f>
        <v>0</v>
      </c>
      <c r="O96" s="59">
        <f>0</f>
        <v>0</v>
      </c>
      <c r="P96" s="59">
        <f>0</f>
        <v>0</v>
      </c>
      <c r="Q96" s="59">
        <f>0</f>
        <v>0</v>
      </c>
      <c r="R96" s="59">
        <f>0</f>
        <v>0</v>
      </c>
      <c r="S96" s="59">
        <f>0</f>
        <v>0</v>
      </c>
      <c r="T96" s="59">
        <f>0</f>
        <v>0</v>
      </c>
    </row>
    <row r="97" spans="1:20" ht="19.5" customHeight="1">
      <c r="A97" s="53" t="s">
        <v>267</v>
      </c>
      <c r="B97" s="69" t="s">
        <v>268</v>
      </c>
      <c r="C97" s="55">
        <f>0</f>
        <v>0</v>
      </c>
      <c r="D97" s="56">
        <f>0</f>
        <v>0</v>
      </c>
      <c r="E97" s="56">
        <f>0</f>
        <v>0</v>
      </c>
      <c r="F97" s="57">
        <f>0</f>
        <v>0</v>
      </c>
      <c r="G97" s="58">
        <f>0</f>
        <v>0</v>
      </c>
      <c r="H97" s="59">
        <f>0</f>
        <v>0</v>
      </c>
      <c r="I97" s="59">
        <f>0</f>
        <v>0</v>
      </c>
      <c r="J97" s="59">
        <f>0</f>
        <v>0</v>
      </c>
      <c r="K97" s="59">
        <f>0</f>
        <v>0</v>
      </c>
      <c r="L97" s="59">
        <f>0</f>
        <v>0</v>
      </c>
      <c r="M97" s="59">
        <f>0</f>
        <v>0</v>
      </c>
      <c r="N97" s="59">
        <f>0</f>
        <v>0</v>
      </c>
      <c r="O97" s="59">
        <f>0</f>
        <v>0</v>
      </c>
      <c r="P97" s="59">
        <f>0</f>
        <v>0</v>
      </c>
      <c r="Q97" s="59">
        <f>0</f>
        <v>0</v>
      </c>
      <c r="R97" s="59">
        <f>0</f>
        <v>0</v>
      </c>
      <c r="S97" s="59">
        <f>0</f>
        <v>0</v>
      </c>
      <c r="T97" s="59">
        <f>0</f>
        <v>0</v>
      </c>
    </row>
    <row r="98" spans="1:20" ht="30" customHeight="1">
      <c r="A98" s="53" t="s">
        <v>269</v>
      </c>
      <c r="B98" s="60" t="s">
        <v>270</v>
      </c>
      <c r="C98" s="55">
        <f>0</f>
        <v>0</v>
      </c>
      <c r="D98" s="56">
        <f>0</f>
        <v>0</v>
      </c>
      <c r="E98" s="56">
        <f>0</f>
        <v>0</v>
      </c>
      <c r="F98" s="57">
        <f>0</f>
        <v>0</v>
      </c>
      <c r="G98" s="58">
        <f>0</f>
        <v>0</v>
      </c>
      <c r="H98" s="59">
        <f>0</f>
        <v>0</v>
      </c>
      <c r="I98" s="59">
        <f>0</f>
        <v>0</v>
      </c>
      <c r="J98" s="59">
        <f>0</f>
        <v>0</v>
      </c>
      <c r="K98" s="59">
        <f>0</f>
        <v>0</v>
      </c>
      <c r="L98" s="59">
        <f>0</f>
        <v>0</v>
      </c>
      <c r="M98" s="59">
        <f>0</f>
        <v>0</v>
      </c>
      <c r="N98" s="59">
        <f>0</f>
        <v>0</v>
      </c>
      <c r="O98" s="59">
        <f>0</f>
        <v>0</v>
      </c>
      <c r="P98" s="59">
        <f>0</f>
        <v>0</v>
      </c>
      <c r="Q98" s="59">
        <f>0</f>
        <v>0</v>
      </c>
      <c r="R98" s="59">
        <f>0</f>
        <v>0</v>
      </c>
      <c r="S98" s="59">
        <f>0</f>
        <v>0</v>
      </c>
      <c r="T98" s="59">
        <f>0</f>
        <v>0</v>
      </c>
    </row>
    <row r="99" spans="1:20" ht="45" customHeight="1">
      <c r="A99" s="53" t="s">
        <v>271</v>
      </c>
      <c r="B99" s="54" t="s">
        <v>272</v>
      </c>
      <c r="C99" s="55">
        <f>0</f>
        <v>0</v>
      </c>
      <c r="D99" s="56">
        <f>0</f>
        <v>0</v>
      </c>
      <c r="E99" s="56">
        <f>0</f>
        <v>0</v>
      </c>
      <c r="F99" s="57">
        <f>0</f>
        <v>0</v>
      </c>
      <c r="G99" s="58">
        <f>0</f>
        <v>0</v>
      </c>
      <c r="H99" s="59">
        <f>0</f>
        <v>0</v>
      </c>
      <c r="I99" s="59">
        <f>0</f>
        <v>0</v>
      </c>
      <c r="J99" s="59">
        <f>0</f>
        <v>0</v>
      </c>
      <c r="K99" s="59">
        <f>0</f>
        <v>0</v>
      </c>
      <c r="L99" s="59">
        <f>0</f>
        <v>0</v>
      </c>
      <c r="M99" s="59">
        <f>0</f>
        <v>0</v>
      </c>
      <c r="N99" s="59">
        <f>0</f>
        <v>0</v>
      </c>
      <c r="O99" s="59">
        <f>0</f>
        <v>0</v>
      </c>
      <c r="P99" s="59">
        <f>0</f>
        <v>0</v>
      </c>
      <c r="Q99" s="59">
        <f>0</f>
        <v>0</v>
      </c>
      <c r="R99" s="59">
        <f>0</f>
        <v>0</v>
      </c>
      <c r="S99" s="59">
        <f>0</f>
        <v>0</v>
      </c>
      <c r="T99" s="59">
        <f>0</f>
        <v>0</v>
      </c>
    </row>
    <row r="100" spans="1:20" ht="48" customHeight="1">
      <c r="A100" s="53" t="s">
        <v>273</v>
      </c>
      <c r="B100" s="54" t="s">
        <v>274</v>
      </c>
      <c r="C100" s="55">
        <f>0</f>
        <v>0</v>
      </c>
      <c r="D100" s="56">
        <f>0</f>
        <v>0</v>
      </c>
      <c r="E100" s="56">
        <f>0</f>
        <v>0</v>
      </c>
      <c r="F100" s="57">
        <f>0</f>
        <v>0</v>
      </c>
      <c r="G100" s="58">
        <f>0</f>
        <v>0</v>
      </c>
      <c r="H100" s="59">
        <f>0</f>
        <v>0</v>
      </c>
      <c r="I100" s="59">
        <f>0</f>
        <v>0</v>
      </c>
      <c r="J100" s="59">
        <f>0</f>
        <v>0</v>
      </c>
      <c r="K100" s="59">
        <f>0</f>
        <v>0</v>
      </c>
      <c r="L100" s="59">
        <f>0</f>
        <v>0</v>
      </c>
      <c r="M100" s="59">
        <f>0</f>
        <v>0</v>
      </c>
      <c r="N100" s="59">
        <f>0</f>
        <v>0</v>
      </c>
      <c r="O100" s="59">
        <f>0</f>
        <v>0</v>
      </c>
      <c r="P100" s="59">
        <f>0</f>
        <v>0</v>
      </c>
      <c r="Q100" s="59">
        <f>0</f>
        <v>0</v>
      </c>
      <c r="R100" s="59">
        <f>0</f>
        <v>0</v>
      </c>
      <c r="S100" s="59">
        <f>0</f>
        <v>0</v>
      </c>
      <c r="T100" s="59">
        <f>0</f>
        <v>0</v>
      </c>
    </row>
    <row r="101" spans="1:20" ht="92.25" customHeight="1">
      <c r="A101" s="53" t="s">
        <v>275</v>
      </c>
      <c r="B101" s="54" t="s">
        <v>276</v>
      </c>
      <c r="C101" s="55">
        <f>0</f>
        <v>0</v>
      </c>
      <c r="D101" s="56">
        <f>0</f>
        <v>0</v>
      </c>
      <c r="E101" s="56">
        <f>16332</f>
        <v>16332</v>
      </c>
      <c r="F101" s="57">
        <f>16332</f>
        <v>16332</v>
      </c>
      <c r="G101" s="58">
        <f>16332</f>
        <v>16332</v>
      </c>
      <c r="H101" s="59">
        <f>16332</f>
        <v>16332</v>
      </c>
      <c r="I101" s="59">
        <f>16332</f>
        <v>16332</v>
      </c>
      <c r="J101" s="59">
        <f>16332</f>
        <v>16332</v>
      </c>
      <c r="K101" s="59">
        <f>16332</f>
        <v>16332</v>
      </c>
      <c r="L101" s="59">
        <f>801724</f>
        <v>801724</v>
      </c>
      <c r="M101" s="59">
        <f>800296</f>
        <v>800296</v>
      </c>
      <c r="N101" s="59">
        <f>0</f>
        <v>0</v>
      </c>
      <c r="O101" s="59">
        <f>0</f>
        <v>0</v>
      </c>
      <c r="P101" s="59">
        <f>0</f>
        <v>0</v>
      </c>
      <c r="Q101" s="59">
        <f>0</f>
        <v>0</v>
      </c>
      <c r="R101" s="59">
        <f>0</f>
        <v>0</v>
      </c>
      <c r="S101" s="59">
        <f>0</f>
        <v>0</v>
      </c>
      <c r="T101" s="59">
        <f>0</f>
        <v>0</v>
      </c>
    </row>
    <row r="102" spans="1:20" ht="33.75" customHeight="1">
      <c r="A102" s="53" t="s">
        <v>277</v>
      </c>
      <c r="B102" s="54" t="s">
        <v>278</v>
      </c>
      <c r="C102" s="55">
        <f>0</f>
        <v>0</v>
      </c>
      <c r="D102" s="56">
        <f>731690.06</f>
        <v>731690.06</v>
      </c>
      <c r="E102" s="56">
        <f>0</f>
        <v>0</v>
      </c>
      <c r="F102" s="57">
        <f>0</f>
        <v>0</v>
      </c>
      <c r="G102" s="58">
        <f>0</f>
        <v>0</v>
      </c>
      <c r="H102" s="59">
        <f>0</f>
        <v>0</v>
      </c>
      <c r="I102" s="59">
        <f>0</f>
        <v>0</v>
      </c>
      <c r="J102" s="59">
        <f>0</f>
        <v>0</v>
      </c>
      <c r="K102" s="59">
        <f>0</f>
        <v>0</v>
      </c>
      <c r="L102" s="59">
        <f>0</f>
        <v>0</v>
      </c>
      <c r="M102" s="59">
        <f>0</f>
        <v>0</v>
      </c>
      <c r="N102" s="59">
        <f>0</f>
        <v>0</v>
      </c>
      <c r="O102" s="59">
        <f>0</f>
        <v>0</v>
      </c>
      <c r="P102" s="59">
        <f>0</f>
        <v>0</v>
      </c>
      <c r="Q102" s="59">
        <f>0</f>
        <v>0</v>
      </c>
      <c r="R102" s="59">
        <f>0</f>
        <v>0</v>
      </c>
      <c r="S102" s="59">
        <f>0</f>
        <v>0</v>
      </c>
      <c r="T102" s="59">
        <f>0</f>
        <v>0</v>
      </c>
    </row>
    <row r="103" spans="1:20" ht="30.75" customHeight="1">
      <c r="A103" s="62">
        <v>11</v>
      </c>
      <c r="B103" s="63" t="s">
        <v>279</v>
      </c>
      <c r="C103" s="71" t="s">
        <v>189</v>
      </c>
      <c r="D103" s="72" t="s">
        <v>189</v>
      </c>
      <c r="E103" s="72" t="s">
        <v>189</v>
      </c>
      <c r="F103" s="73" t="s">
        <v>189</v>
      </c>
      <c r="G103" s="74" t="s">
        <v>189</v>
      </c>
      <c r="H103" s="75" t="s">
        <v>189</v>
      </c>
      <c r="I103" s="75" t="s">
        <v>189</v>
      </c>
      <c r="J103" s="75" t="s">
        <v>189</v>
      </c>
      <c r="K103" s="75" t="s">
        <v>189</v>
      </c>
      <c r="L103" s="75" t="s">
        <v>189</v>
      </c>
      <c r="M103" s="75" t="s">
        <v>189</v>
      </c>
      <c r="N103" s="75" t="s">
        <v>189</v>
      </c>
      <c r="O103" s="75" t="s">
        <v>189</v>
      </c>
      <c r="P103" s="75" t="s">
        <v>189</v>
      </c>
      <c r="Q103" s="75" t="s">
        <v>189</v>
      </c>
      <c r="R103" s="75" t="s">
        <v>189</v>
      </c>
      <c r="S103" s="75" t="s">
        <v>189</v>
      </c>
      <c r="T103" s="75" t="s">
        <v>189</v>
      </c>
    </row>
    <row r="104" spans="1:20" ht="30.75" customHeight="1">
      <c r="A104" s="53" t="s">
        <v>280</v>
      </c>
      <c r="B104" s="54" t="s">
        <v>281</v>
      </c>
      <c r="C104" s="55">
        <f>0</f>
        <v>0</v>
      </c>
      <c r="D104" s="56">
        <f>0</f>
        <v>0</v>
      </c>
      <c r="E104" s="56">
        <f>0</f>
        <v>0</v>
      </c>
      <c r="F104" s="57">
        <f>0</f>
        <v>0</v>
      </c>
      <c r="G104" s="58">
        <f>0</f>
        <v>0</v>
      </c>
      <c r="H104" s="59">
        <f>0</f>
        <v>0</v>
      </c>
      <c r="I104" s="59">
        <f>0</f>
        <v>0</v>
      </c>
      <c r="J104" s="59">
        <f>0</f>
        <v>0</v>
      </c>
      <c r="K104" s="59">
        <f>0</f>
        <v>0</v>
      </c>
      <c r="L104" s="59">
        <f>0</f>
        <v>0</v>
      </c>
      <c r="M104" s="59">
        <f>0</f>
        <v>0</v>
      </c>
      <c r="N104" s="59">
        <f>0</f>
        <v>0</v>
      </c>
      <c r="O104" s="59">
        <f>0</f>
        <v>0</v>
      </c>
      <c r="P104" s="59">
        <f>0</f>
        <v>0</v>
      </c>
      <c r="Q104" s="59">
        <f>0</f>
        <v>0</v>
      </c>
      <c r="R104" s="59">
        <f>0</f>
        <v>0</v>
      </c>
      <c r="S104" s="59">
        <f>0</f>
        <v>0</v>
      </c>
      <c r="T104" s="59">
        <f>0</f>
        <v>0</v>
      </c>
    </row>
    <row r="105" spans="1:20" ht="24">
      <c r="A105" s="53" t="s">
        <v>282</v>
      </c>
      <c r="B105" s="60" t="s">
        <v>283</v>
      </c>
      <c r="C105" s="55">
        <f>0</f>
        <v>0</v>
      </c>
      <c r="D105" s="56">
        <f>0</f>
        <v>0</v>
      </c>
      <c r="E105" s="56">
        <f>0</f>
        <v>0</v>
      </c>
      <c r="F105" s="57">
        <f>0</f>
        <v>0</v>
      </c>
      <c r="G105" s="58">
        <f>0</f>
        <v>0</v>
      </c>
      <c r="H105" s="59">
        <f>0</f>
        <v>0</v>
      </c>
      <c r="I105" s="59">
        <f>0</f>
        <v>0</v>
      </c>
      <c r="J105" s="59">
        <f>0</f>
        <v>0</v>
      </c>
      <c r="K105" s="59">
        <f>0</f>
        <v>0</v>
      </c>
      <c r="L105" s="59">
        <f>0</f>
        <v>0</v>
      </c>
      <c r="M105" s="59">
        <f>0</f>
        <v>0</v>
      </c>
      <c r="N105" s="59">
        <f>0</f>
        <v>0</v>
      </c>
      <c r="O105" s="59">
        <f>0</f>
        <v>0</v>
      </c>
      <c r="P105" s="59">
        <f>0</f>
        <v>0</v>
      </c>
      <c r="Q105" s="59">
        <f>0</f>
        <v>0</v>
      </c>
      <c r="R105" s="59">
        <f>0</f>
        <v>0</v>
      </c>
      <c r="S105" s="59">
        <f>0</f>
        <v>0</v>
      </c>
      <c r="T105" s="59">
        <f>0</f>
        <v>0</v>
      </c>
    </row>
    <row r="106" spans="1:20" ht="51.75" customHeight="1">
      <c r="A106" s="53" t="s">
        <v>284</v>
      </c>
      <c r="B106" s="54" t="s">
        <v>285</v>
      </c>
      <c r="C106" s="55">
        <f>0</f>
        <v>0</v>
      </c>
      <c r="D106" s="56">
        <f>0</f>
        <v>0</v>
      </c>
      <c r="E106" s="56">
        <f>0</f>
        <v>0</v>
      </c>
      <c r="F106" s="57">
        <f>0</f>
        <v>0</v>
      </c>
      <c r="G106" s="58">
        <f>0</f>
        <v>0</v>
      </c>
      <c r="H106" s="59">
        <f>0</f>
        <v>0</v>
      </c>
      <c r="I106" s="59">
        <f>0</f>
        <v>0</v>
      </c>
      <c r="J106" s="59">
        <f>0</f>
        <v>0</v>
      </c>
      <c r="K106" s="59">
        <f>0</f>
        <v>0</v>
      </c>
      <c r="L106" s="59">
        <f>0</f>
        <v>0</v>
      </c>
      <c r="M106" s="59">
        <f>0</f>
        <v>0</v>
      </c>
      <c r="N106" s="59">
        <f>0</f>
        <v>0</v>
      </c>
      <c r="O106" s="59">
        <f>0</f>
        <v>0</v>
      </c>
      <c r="P106" s="59">
        <f>0</f>
        <v>0</v>
      </c>
      <c r="Q106" s="59">
        <f>0</f>
        <v>0</v>
      </c>
      <c r="R106" s="59">
        <f>0</f>
        <v>0</v>
      </c>
      <c r="S106" s="59">
        <f>0</f>
        <v>0</v>
      </c>
      <c r="T106" s="59">
        <f>0</f>
        <v>0</v>
      </c>
    </row>
    <row r="107" spans="1:20" ht="42.75" customHeight="1">
      <c r="A107" s="62">
        <v>12</v>
      </c>
      <c r="B107" s="63" t="s">
        <v>286</v>
      </c>
      <c r="C107" s="71" t="s">
        <v>189</v>
      </c>
      <c r="D107" s="72" t="s">
        <v>189</v>
      </c>
      <c r="E107" s="72" t="s">
        <v>189</v>
      </c>
      <c r="F107" s="73" t="s">
        <v>189</v>
      </c>
      <c r="G107" s="74" t="s">
        <v>189</v>
      </c>
      <c r="H107" s="75" t="s">
        <v>189</v>
      </c>
      <c r="I107" s="75" t="s">
        <v>189</v>
      </c>
      <c r="J107" s="75" t="s">
        <v>189</v>
      </c>
      <c r="K107" s="75" t="s">
        <v>189</v>
      </c>
      <c r="L107" s="75" t="s">
        <v>189</v>
      </c>
      <c r="M107" s="75" t="s">
        <v>189</v>
      </c>
      <c r="N107" s="75" t="s">
        <v>189</v>
      </c>
      <c r="O107" s="75" t="s">
        <v>189</v>
      </c>
      <c r="P107" s="75" t="s">
        <v>189</v>
      </c>
      <c r="Q107" s="75" t="s">
        <v>189</v>
      </c>
      <c r="R107" s="75" t="s">
        <v>189</v>
      </c>
      <c r="S107" s="75" t="s">
        <v>189</v>
      </c>
      <c r="T107" s="75" t="s">
        <v>189</v>
      </c>
    </row>
    <row r="108" spans="1:20" ht="47.25" customHeight="1">
      <c r="A108" s="53" t="s">
        <v>287</v>
      </c>
      <c r="B108" s="54" t="s">
        <v>288</v>
      </c>
      <c r="C108" s="55">
        <f>0</f>
        <v>0</v>
      </c>
      <c r="D108" s="56">
        <f>0</f>
        <v>0</v>
      </c>
      <c r="E108" s="56">
        <f>0</f>
        <v>0</v>
      </c>
      <c r="F108" s="57">
        <f>0</f>
        <v>0</v>
      </c>
      <c r="G108" s="58">
        <f>0</f>
        <v>0</v>
      </c>
      <c r="H108" s="59">
        <f>0</f>
        <v>0</v>
      </c>
      <c r="I108" s="59">
        <f>0</f>
        <v>0</v>
      </c>
      <c r="J108" s="59">
        <f>0</f>
        <v>0</v>
      </c>
      <c r="K108" s="59">
        <f>0</f>
        <v>0</v>
      </c>
      <c r="L108" s="59">
        <f>0</f>
        <v>0</v>
      </c>
      <c r="M108" s="59">
        <f>0</f>
        <v>0</v>
      </c>
      <c r="N108" s="59">
        <f>0</f>
        <v>0</v>
      </c>
      <c r="O108" s="59">
        <f>0</f>
        <v>0</v>
      </c>
      <c r="P108" s="59">
        <f>0</f>
        <v>0</v>
      </c>
      <c r="Q108" s="59">
        <f>0</f>
        <v>0</v>
      </c>
      <c r="R108" s="59">
        <f>0</f>
        <v>0</v>
      </c>
      <c r="S108" s="59">
        <f>0</f>
        <v>0</v>
      </c>
      <c r="T108" s="59">
        <f>0</f>
        <v>0</v>
      </c>
    </row>
    <row r="109" spans="1:20" ht="31.5" customHeight="1">
      <c r="A109" s="53" t="s">
        <v>289</v>
      </c>
      <c r="B109" s="54" t="s">
        <v>290</v>
      </c>
      <c r="C109" s="71" t="s">
        <v>189</v>
      </c>
      <c r="D109" s="72" t="s">
        <v>189</v>
      </c>
      <c r="E109" s="72" t="s">
        <v>189</v>
      </c>
      <c r="F109" s="73" t="s">
        <v>189</v>
      </c>
      <c r="G109" s="86">
        <f>0</f>
        <v>0</v>
      </c>
      <c r="H109" s="87">
        <f>0</f>
        <v>0</v>
      </c>
      <c r="I109" s="87">
        <f>0</f>
        <v>0</v>
      </c>
      <c r="J109" s="87">
        <f>0</f>
        <v>0</v>
      </c>
      <c r="K109" s="87">
        <f>0</f>
        <v>0</v>
      </c>
      <c r="L109" s="87">
        <f>0</f>
        <v>0</v>
      </c>
      <c r="M109" s="87">
        <f>0</f>
        <v>0</v>
      </c>
      <c r="N109" s="87">
        <f>0</f>
        <v>0</v>
      </c>
      <c r="O109" s="87">
        <f>0</f>
        <v>0</v>
      </c>
      <c r="P109" s="87">
        <f>0</f>
        <v>0</v>
      </c>
      <c r="Q109" s="87">
        <f>0</f>
        <v>0</v>
      </c>
      <c r="R109" s="87">
        <f>0</f>
        <v>0</v>
      </c>
      <c r="S109" s="87">
        <f>0</f>
        <v>0</v>
      </c>
      <c r="T109" s="87">
        <f>0</f>
        <v>0</v>
      </c>
    </row>
    <row r="110" spans="1:20" ht="36" customHeight="1">
      <c r="A110" s="88" t="s">
        <v>291</v>
      </c>
      <c r="B110" s="89" t="s">
        <v>292</v>
      </c>
      <c r="C110" s="90" t="s">
        <v>189</v>
      </c>
      <c r="D110" s="91" t="s">
        <v>189</v>
      </c>
      <c r="E110" s="91" t="s">
        <v>189</v>
      </c>
      <c r="F110" s="92" t="s">
        <v>189</v>
      </c>
      <c r="G110" s="93">
        <f>0</f>
        <v>0</v>
      </c>
      <c r="H110" s="94">
        <f>0</f>
        <v>0</v>
      </c>
      <c r="I110" s="94">
        <f>0</f>
        <v>0</v>
      </c>
      <c r="J110" s="94">
        <f>0</f>
        <v>0</v>
      </c>
      <c r="K110" s="94">
        <f>0</f>
        <v>0</v>
      </c>
      <c r="L110" s="94">
        <f>0</f>
        <v>0</v>
      </c>
      <c r="M110" s="94">
        <f>0</f>
        <v>0</v>
      </c>
      <c r="N110" s="94">
        <f>0</f>
        <v>0</v>
      </c>
      <c r="O110" s="94">
        <f>0</f>
        <v>0</v>
      </c>
      <c r="P110" s="94">
        <f>0</f>
        <v>0</v>
      </c>
      <c r="Q110" s="94">
        <f>0</f>
        <v>0</v>
      </c>
      <c r="R110" s="94">
        <f>0</f>
        <v>0</v>
      </c>
      <c r="S110" s="94">
        <f>0</f>
        <v>0</v>
      </c>
      <c r="T110" s="94">
        <f>0</f>
        <v>0</v>
      </c>
    </row>
    <row r="111" spans="1:20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</row>
  </sheetData>
  <sheetProtection algorithmName="SHA-512" hashValue="bn+1B+HQ7D2ZzMVCO1/TsDf8xcd1kkHW/v4RN5j7qmeWFo/zBuvQk3eiREhlyzT+UePY1vZbKTCkCWQLc1im8g==" saltValue="C6Bv6M2w7vNev4YqGE4J7w==" spinCount="100000" sheet="1" formatCells="0" formatColumns="0" formatRows="0" insertColumns="0" deleteColumns="0"/>
  <mergeCells count="2">
    <mergeCell ref="C2:D2"/>
    <mergeCell ref="A1:T1"/>
  </mergeCells>
  <conditionalFormatting sqref="G57:T58">
    <cfRule type="expression" dxfId="1" priority="16" stopIfTrue="1">
      <formula>LEFT(G57,3)="Nie"</formula>
    </cfRule>
  </conditionalFormatting>
  <conditionalFormatting sqref="G65:T66 G69:T70">
    <cfRule type="cellIs" dxfId="0" priority="15" stopIfTrue="1" operator="equal">
      <formula>"Nie spełniona"</formula>
    </cfRule>
  </conditionalFormatting>
  <pageMargins left="0" right="0" top="1.2598425196850394" bottom="0.86614173228346458" header="0.70866141732283472" footer="0.51181102362204722"/>
  <pageSetup paperSize="9" scale="58" orientation="landscape" blackAndWhite="1" horizontalDpi="4294967293" verticalDpi="4294967293" r:id="rId1"/>
  <headerFooter differentOddEven="1" differentFirst="1" alignWithMargins="0">
    <oddFooter>&amp;C&amp;8&amp;P</oddFooter>
    <evenFooter>&amp;C&amp;P</evenFooter>
    <firstHeader>&amp;RZałącznik Nr 1
do uchwały Nr .................
Rady  Powiatu  Otwockiego
z dnia ...............................</firstHeader>
    <firstFooter>&amp;C&amp;P</firstFooter>
  </headerFooter>
  <rowBreaks count="3" manualBreakCount="3">
    <brk id="50" max="19" man="1"/>
    <brk id="78" max="19" man="1"/>
    <brk id="9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52"/>
  <sheetViews>
    <sheetView zoomScale="106" zoomScaleNormal="106" workbookViewId="0">
      <pane ySplit="5" topLeftCell="A36" activePane="bottomLeft" state="frozen"/>
      <selection pane="bottomLeft" activeCell="G35" sqref="G35"/>
    </sheetView>
  </sheetViews>
  <sheetFormatPr defaultRowHeight="12.75"/>
  <cols>
    <col min="1" max="1" width="10.7109375" style="17" customWidth="1"/>
    <col min="2" max="2" width="53" style="1" customWidth="1"/>
    <col min="3" max="3" width="19.42578125" style="3" customWidth="1"/>
    <col min="4" max="5" width="7.42578125" style="17" customWidth="1"/>
    <col min="6" max="6" width="15.42578125" style="4" customWidth="1"/>
    <col min="7" max="7" width="15.28515625" style="163" customWidth="1"/>
    <col min="8" max="8" width="13.7109375" style="1" customWidth="1"/>
    <col min="9" max="9" width="13.5703125" style="1" customWidth="1"/>
    <col min="10" max="10" width="14.28515625" style="1" customWidth="1"/>
    <col min="11" max="11" width="13.42578125" style="1" customWidth="1"/>
    <col min="12" max="12" width="13.5703125" style="1" customWidth="1"/>
    <col min="13" max="13" width="14.7109375" style="1" customWidth="1"/>
    <col min="14" max="14" width="15.85546875" style="4" customWidth="1"/>
    <col min="15" max="211" width="9.140625" style="16"/>
    <col min="212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211" s="2" customFormat="1" ht="22.5" customHeight="1">
      <c r="A1" s="182" t="s">
        <v>305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</row>
    <row r="2" spans="1:211" ht="12.75" customHeight="1"/>
    <row r="3" spans="1:211" ht="12.75" customHeight="1">
      <c r="B3" s="16"/>
    </row>
    <row r="4" spans="1:211" ht="42" customHeight="1">
      <c r="A4" s="183" t="s">
        <v>0</v>
      </c>
      <c r="B4" s="183" t="s">
        <v>1</v>
      </c>
      <c r="C4" s="183" t="s">
        <v>2</v>
      </c>
      <c r="D4" s="183" t="s">
        <v>3</v>
      </c>
      <c r="E4" s="183"/>
      <c r="F4" s="183" t="s">
        <v>4</v>
      </c>
      <c r="G4" s="184" t="s">
        <v>314</v>
      </c>
      <c r="H4" s="184"/>
      <c r="I4" s="184"/>
      <c r="J4" s="184"/>
      <c r="K4" s="184"/>
      <c r="L4" s="184"/>
      <c r="M4" s="185"/>
      <c r="N4" s="183" t="s">
        <v>5</v>
      </c>
    </row>
    <row r="5" spans="1:211" s="17" customFormat="1" ht="23.25" customHeight="1">
      <c r="A5" s="183"/>
      <c r="B5" s="183"/>
      <c r="C5" s="183"/>
      <c r="D5" s="134" t="s">
        <v>6</v>
      </c>
      <c r="E5" s="134" t="s">
        <v>7</v>
      </c>
      <c r="F5" s="183"/>
      <c r="G5" s="162">
        <v>2022</v>
      </c>
      <c r="H5" s="21">
        <v>2023</v>
      </c>
      <c r="I5" s="21">
        <v>2024</v>
      </c>
      <c r="J5" s="21">
        <v>2025</v>
      </c>
      <c r="K5" s="21">
        <v>2026</v>
      </c>
      <c r="L5" s="21">
        <v>2027</v>
      </c>
      <c r="M5" s="21">
        <v>2028</v>
      </c>
      <c r="N5" s="183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</row>
    <row r="6" spans="1:211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164">
        <v>9</v>
      </c>
      <c r="H6" s="5">
        <v>10</v>
      </c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6">
        <v>16</v>
      </c>
    </row>
    <row r="7" spans="1:211" s="9" customFormat="1" ht="18.75" customHeight="1">
      <c r="A7" s="171" t="s">
        <v>8</v>
      </c>
      <c r="B7" s="189" t="s">
        <v>9</v>
      </c>
      <c r="C7" s="189"/>
      <c r="D7" s="189"/>
      <c r="E7" s="189"/>
      <c r="F7" s="8">
        <f>SUM(F10,F21,F24)</f>
        <v>71067897</v>
      </c>
      <c r="G7" s="124">
        <f t="shared" ref="F7:N8" si="0">SUM(G10,G21,G24)</f>
        <v>27169457</v>
      </c>
      <c r="H7" s="8">
        <f t="shared" si="0"/>
        <v>12618788</v>
      </c>
      <c r="I7" s="8">
        <f t="shared" si="0"/>
        <v>8624463</v>
      </c>
      <c r="J7" s="8">
        <f t="shared" si="0"/>
        <v>3007408</v>
      </c>
      <c r="K7" s="8">
        <f t="shared" si="0"/>
        <v>2150000</v>
      </c>
      <c r="L7" s="8">
        <f t="shared" si="0"/>
        <v>2000000</v>
      </c>
      <c r="M7" s="8">
        <f t="shared" si="0"/>
        <v>3150000</v>
      </c>
      <c r="N7" s="8">
        <f t="shared" si="0"/>
        <v>58720116</v>
      </c>
    </row>
    <row r="8" spans="1:211" s="9" customFormat="1" ht="18.75" customHeight="1">
      <c r="A8" s="171" t="s">
        <v>10</v>
      </c>
      <c r="B8" s="189" t="s">
        <v>11</v>
      </c>
      <c r="C8" s="189"/>
      <c r="D8" s="189"/>
      <c r="E8" s="189"/>
      <c r="F8" s="8">
        <f t="shared" si="0"/>
        <v>7136588</v>
      </c>
      <c r="G8" s="124">
        <f t="shared" si="0"/>
        <v>1855399</v>
      </c>
      <c r="H8" s="8">
        <f t="shared" si="0"/>
        <v>1028788</v>
      </c>
      <c r="I8" s="8">
        <f t="shared" si="0"/>
        <v>774463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3658650</v>
      </c>
    </row>
    <row r="9" spans="1:211" s="9" customFormat="1" ht="18.75" customHeight="1">
      <c r="A9" s="171" t="s">
        <v>12</v>
      </c>
      <c r="B9" s="189" t="s">
        <v>13</v>
      </c>
      <c r="C9" s="189"/>
      <c r="D9" s="189"/>
      <c r="E9" s="189"/>
      <c r="F9" s="8">
        <f>SUM(F19,F23,F29)</f>
        <v>63931309</v>
      </c>
      <c r="G9" s="124">
        <f t="shared" ref="G9:N9" si="1">SUM(G19,G23,G29)</f>
        <v>25314058</v>
      </c>
      <c r="H9" s="8">
        <f t="shared" si="1"/>
        <v>11590000</v>
      </c>
      <c r="I9" s="8">
        <f t="shared" si="1"/>
        <v>7850000</v>
      </c>
      <c r="J9" s="8">
        <f t="shared" si="1"/>
        <v>3007408</v>
      </c>
      <c r="K9" s="8">
        <f t="shared" si="1"/>
        <v>2150000</v>
      </c>
      <c r="L9" s="8">
        <f t="shared" si="1"/>
        <v>2000000</v>
      </c>
      <c r="M9" s="8">
        <f t="shared" si="1"/>
        <v>3150000</v>
      </c>
      <c r="N9" s="8">
        <f t="shared" si="1"/>
        <v>55061466</v>
      </c>
    </row>
    <row r="10" spans="1:211" s="11" customFormat="1" ht="54.75" customHeight="1">
      <c r="A10" s="171" t="s">
        <v>14</v>
      </c>
      <c r="B10" s="189" t="s">
        <v>294</v>
      </c>
      <c r="C10" s="189"/>
      <c r="D10" s="189"/>
      <c r="E10" s="189"/>
      <c r="F10" s="10">
        <f t="shared" ref="F10:N10" si="2">SUM(F11,F19)</f>
        <v>3991706</v>
      </c>
      <c r="G10" s="126">
        <f t="shared" si="2"/>
        <v>959154</v>
      </c>
      <c r="H10" s="10">
        <f t="shared" si="2"/>
        <v>242325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1201479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</row>
    <row r="11" spans="1:211" s="9" customFormat="1" ht="18.75" customHeight="1">
      <c r="A11" s="171" t="s">
        <v>15</v>
      </c>
      <c r="B11" s="189" t="s">
        <v>11</v>
      </c>
      <c r="C11" s="189"/>
      <c r="D11" s="189"/>
      <c r="E11" s="189"/>
      <c r="F11" s="8">
        <f t="shared" ref="F11:N11" si="3">SUM(F12:F18)</f>
        <v>3678066</v>
      </c>
      <c r="G11" s="124">
        <f t="shared" si="3"/>
        <v>905536</v>
      </c>
      <c r="H11" s="8">
        <f t="shared" si="3"/>
        <v>242325</v>
      </c>
      <c r="I11" s="8">
        <f t="shared" si="3"/>
        <v>0</v>
      </c>
      <c r="J11" s="8">
        <f t="shared" si="3"/>
        <v>0</v>
      </c>
      <c r="K11" s="8">
        <f t="shared" si="3"/>
        <v>0</v>
      </c>
      <c r="L11" s="8">
        <f t="shared" si="3"/>
        <v>0</v>
      </c>
      <c r="M11" s="8">
        <f t="shared" si="3"/>
        <v>0</v>
      </c>
      <c r="N11" s="8">
        <f t="shared" si="3"/>
        <v>1147861</v>
      </c>
    </row>
    <row r="12" spans="1:211" s="30" customFormat="1" ht="42" customHeight="1">
      <c r="A12" s="25" t="s">
        <v>299</v>
      </c>
      <c r="B12" s="27" t="s">
        <v>313</v>
      </c>
      <c r="C12" s="28" t="s">
        <v>72</v>
      </c>
      <c r="D12" s="25">
        <v>2019</v>
      </c>
      <c r="E12" s="25">
        <v>2022</v>
      </c>
      <c r="F12" s="31">
        <v>805245</v>
      </c>
      <c r="G12" s="29">
        <f>59275+438</f>
        <v>59713</v>
      </c>
      <c r="H12" s="29"/>
      <c r="I12" s="29"/>
      <c r="J12" s="29"/>
      <c r="K12" s="29"/>
      <c r="L12" s="29"/>
      <c r="M12" s="29"/>
      <c r="N12" s="31">
        <f t="shared" ref="N12:N18" si="4">SUM(G12:L12)</f>
        <v>59713</v>
      </c>
    </row>
    <row r="13" spans="1:211" s="30" customFormat="1" ht="42" customHeight="1">
      <c r="A13" s="25" t="s">
        <v>67</v>
      </c>
      <c r="B13" s="27" t="s">
        <v>71</v>
      </c>
      <c r="C13" s="28" t="s">
        <v>17</v>
      </c>
      <c r="D13" s="25">
        <v>2019</v>
      </c>
      <c r="E13" s="25">
        <v>2022</v>
      </c>
      <c r="F13" s="31">
        <v>830404</v>
      </c>
      <c r="G13" s="29">
        <f>59621+5331</f>
        <v>64952</v>
      </c>
      <c r="H13" s="29"/>
      <c r="I13" s="29"/>
      <c r="J13" s="29"/>
      <c r="K13" s="29"/>
      <c r="L13" s="29"/>
      <c r="M13" s="29"/>
      <c r="N13" s="31">
        <f t="shared" si="4"/>
        <v>64952</v>
      </c>
    </row>
    <row r="14" spans="1:211" s="30" customFormat="1" ht="42.75" customHeight="1">
      <c r="A14" s="25" t="s">
        <v>68</v>
      </c>
      <c r="B14" s="27" t="s">
        <v>74</v>
      </c>
      <c r="C14" s="28" t="s">
        <v>17</v>
      </c>
      <c r="D14" s="25">
        <v>2019</v>
      </c>
      <c r="E14" s="25">
        <v>2022</v>
      </c>
      <c r="F14" s="31">
        <v>641116</v>
      </c>
      <c r="G14" s="29">
        <v>133226</v>
      </c>
      <c r="H14" s="29"/>
      <c r="I14" s="29"/>
      <c r="J14" s="29"/>
      <c r="K14" s="29"/>
      <c r="L14" s="29"/>
      <c r="M14" s="29"/>
      <c r="N14" s="31">
        <f t="shared" si="4"/>
        <v>133226</v>
      </c>
    </row>
    <row r="15" spans="1:211" s="30" customFormat="1" ht="42" customHeight="1">
      <c r="A15" s="25" t="s">
        <v>18</v>
      </c>
      <c r="B15" s="116" t="s">
        <v>81</v>
      </c>
      <c r="C15" s="28" t="s">
        <v>17</v>
      </c>
      <c r="D15" s="117">
        <v>2020</v>
      </c>
      <c r="E15" s="117">
        <v>2022</v>
      </c>
      <c r="F15" s="118">
        <v>256153</v>
      </c>
      <c r="G15" s="119">
        <v>51231</v>
      </c>
      <c r="H15" s="119"/>
      <c r="I15" s="119"/>
      <c r="J15" s="119"/>
      <c r="K15" s="119"/>
      <c r="L15" s="119"/>
      <c r="M15" s="119"/>
      <c r="N15" s="31">
        <f t="shared" si="4"/>
        <v>51231</v>
      </c>
    </row>
    <row r="16" spans="1:211" s="30" customFormat="1" ht="47.25" customHeight="1">
      <c r="A16" s="25" t="s">
        <v>19</v>
      </c>
      <c r="B16" s="120" t="s">
        <v>83</v>
      </c>
      <c r="C16" s="114" t="s">
        <v>84</v>
      </c>
      <c r="D16" s="121">
        <v>2020</v>
      </c>
      <c r="E16" s="121">
        <v>2022</v>
      </c>
      <c r="F16" s="122">
        <v>132789</v>
      </c>
      <c r="G16" s="123">
        <v>27864</v>
      </c>
      <c r="H16" s="123"/>
      <c r="I16" s="123"/>
      <c r="J16" s="123"/>
      <c r="K16" s="123"/>
      <c r="L16" s="123"/>
      <c r="M16" s="123"/>
      <c r="N16" s="31">
        <f t="shared" si="4"/>
        <v>27864</v>
      </c>
    </row>
    <row r="17" spans="1:211" s="30" customFormat="1" ht="35.25" customHeight="1">
      <c r="A17" s="25" t="s">
        <v>69</v>
      </c>
      <c r="B17" s="27" t="s">
        <v>92</v>
      </c>
      <c r="C17" s="28" t="s">
        <v>16</v>
      </c>
      <c r="D17" s="25">
        <v>2020</v>
      </c>
      <c r="E17" s="25">
        <v>2022</v>
      </c>
      <c r="F17" s="31">
        <v>526701</v>
      </c>
      <c r="G17" s="29">
        <v>325217</v>
      </c>
      <c r="H17" s="29"/>
      <c r="I17" s="29"/>
      <c r="J17" s="29"/>
      <c r="K17" s="29"/>
      <c r="L17" s="29"/>
      <c r="M17" s="29"/>
      <c r="N17" s="31">
        <f t="shared" si="4"/>
        <v>325217</v>
      </c>
    </row>
    <row r="18" spans="1:211" s="30" customFormat="1" ht="42.75" customHeight="1">
      <c r="A18" s="25" t="s">
        <v>70</v>
      </c>
      <c r="B18" s="27" t="s">
        <v>296</v>
      </c>
      <c r="C18" s="28" t="s">
        <v>16</v>
      </c>
      <c r="D18" s="25">
        <v>2021</v>
      </c>
      <c r="E18" s="25">
        <v>2023</v>
      </c>
      <c r="F18" s="31">
        <f>SUM(G18:M18)</f>
        <v>485658</v>
      </c>
      <c r="G18" s="29">
        <v>243333</v>
      </c>
      <c r="H18" s="29">
        <v>242325</v>
      </c>
      <c r="I18" s="29"/>
      <c r="J18" s="29"/>
      <c r="K18" s="29"/>
      <c r="L18" s="29"/>
      <c r="M18" s="29"/>
      <c r="N18" s="31">
        <f t="shared" si="4"/>
        <v>485658</v>
      </c>
    </row>
    <row r="19" spans="1:211" s="32" customFormat="1" ht="22.5" customHeight="1">
      <c r="A19" s="172" t="s">
        <v>20</v>
      </c>
      <c r="B19" s="186" t="s">
        <v>13</v>
      </c>
      <c r="C19" s="187"/>
      <c r="D19" s="187"/>
      <c r="E19" s="188"/>
      <c r="F19" s="124">
        <f t="shared" ref="F19:N19" si="5">SUM(F20:F20)</f>
        <v>313640</v>
      </c>
      <c r="G19" s="124">
        <f t="shared" si="5"/>
        <v>53618</v>
      </c>
      <c r="H19" s="124">
        <f t="shared" si="5"/>
        <v>0</v>
      </c>
      <c r="I19" s="124">
        <f t="shared" si="5"/>
        <v>0</v>
      </c>
      <c r="J19" s="124">
        <f t="shared" si="5"/>
        <v>0</v>
      </c>
      <c r="K19" s="124">
        <f t="shared" si="5"/>
        <v>0</v>
      </c>
      <c r="L19" s="124">
        <f t="shared" si="5"/>
        <v>0</v>
      </c>
      <c r="M19" s="124">
        <f t="shared" si="5"/>
        <v>0</v>
      </c>
      <c r="N19" s="124">
        <f t="shared" si="5"/>
        <v>53618</v>
      </c>
    </row>
    <row r="20" spans="1:211" s="111" customFormat="1" ht="53.25" customHeight="1">
      <c r="A20" s="121" t="s">
        <v>87</v>
      </c>
      <c r="B20" s="113" t="s">
        <v>89</v>
      </c>
      <c r="C20" s="114" t="s">
        <v>21</v>
      </c>
      <c r="D20" s="125">
        <v>2016</v>
      </c>
      <c r="E20" s="125">
        <v>2022</v>
      </c>
      <c r="F20" s="130">
        <f>322117+15179+5285+19885-8000+21733+1-62560</f>
        <v>313640</v>
      </c>
      <c r="G20" s="115">
        <f>21733+1+31884</f>
        <v>53618</v>
      </c>
      <c r="H20" s="115"/>
      <c r="I20" s="115"/>
      <c r="J20" s="115"/>
      <c r="K20" s="115"/>
      <c r="L20" s="115"/>
      <c r="M20" s="115"/>
      <c r="N20" s="130">
        <f>SUM(G20:M20)</f>
        <v>53618</v>
      </c>
    </row>
    <row r="21" spans="1:211" s="128" customFormat="1" ht="33.75" customHeight="1">
      <c r="A21" s="172" t="s">
        <v>22</v>
      </c>
      <c r="B21" s="186" t="s">
        <v>23</v>
      </c>
      <c r="C21" s="187"/>
      <c r="D21" s="187"/>
      <c r="E21" s="188"/>
      <c r="F21" s="126">
        <f t="shared" ref="F21:N21" si="6">SUM(F22:F23)</f>
        <v>0</v>
      </c>
      <c r="G21" s="126">
        <f t="shared" si="6"/>
        <v>0</v>
      </c>
      <c r="H21" s="126">
        <f t="shared" si="6"/>
        <v>0</v>
      </c>
      <c r="I21" s="126">
        <f t="shared" si="6"/>
        <v>0</v>
      </c>
      <c r="J21" s="126">
        <f t="shared" si="6"/>
        <v>0</v>
      </c>
      <c r="K21" s="126">
        <f t="shared" si="6"/>
        <v>0</v>
      </c>
      <c r="L21" s="126">
        <f t="shared" si="6"/>
        <v>0</v>
      </c>
      <c r="M21" s="126">
        <f t="shared" si="6"/>
        <v>0</v>
      </c>
      <c r="N21" s="126">
        <f t="shared" si="6"/>
        <v>0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</row>
    <row r="22" spans="1:211" s="128" customFormat="1" ht="18.75" customHeight="1">
      <c r="A22" s="172" t="s">
        <v>24</v>
      </c>
      <c r="B22" s="186" t="s">
        <v>11</v>
      </c>
      <c r="C22" s="187"/>
      <c r="D22" s="187"/>
      <c r="E22" s="188"/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</row>
    <row r="23" spans="1:211" s="128" customFormat="1" ht="18.75" customHeight="1">
      <c r="A23" s="172" t="s">
        <v>25</v>
      </c>
      <c r="B23" s="186" t="s">
        <v>13</v>
      </c>
      <c r="C23" s="187"/>
      <c r="D23" s="187"/>
      <c r="E23" s="188"/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</row>
    <row r="24" spans="1:211" s="128" customFormat="1" ht="28.5" customHeight="1">
      <c r="A24" s="172" t="s">
        <v>26</v>
      </c>
      <c r="B24" s="186" t="s">
        <v>27</v>
      </c>
      <c r="C24" s="187"/>
      <c r="D24" s="187"/>
      <c r="E24" s="188"/>
      <c r="F24" s="126">
        <f t="shared" ref="F24:N24" si="7">SUM(F25,F29)</f>
        <v>67076191</v>
      </c>
      <c r="G24" s="126">
        <f t="shared" si="7"/>
        <v>26210303</v>
      </c>
      <c r="H24" s="126">
        <f t="shared" si="7"/>
        <v>12376463</v>
      </c>
      <c r="I24" s="126">
        <f t="shared" si="7"/>
        <v>8624463</v>
      </c>
      <c r="J24" s="126">
        <f t="shared" si="7"/>
        <v>3007408</v>
      </c>
      <c r="K24" s="126">
        <f t="shared" si="7"/>
        <v>2150000</v>
      </c>
      <c r="L24" s="126">
        <f t="shared" si="7"/>
        <v>2000000</v>
      </c>
      <c r="M24" s="126">
        <f t="shared" si="7"/>
        <v>3150000</v>
      </c>
      <c r="N24" s="126">
        <f t="shared" si="7"/>
        <v>57518637</v>
      </c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</row>
    <row r="25" spans="1:211" s="128" customFormat="1" ht="18.75" customHeight="1">
      <c r="A25" s="172" t="s">
        <v>28</v>
      </c>
      <c r="B25" s="186" t="s">
        <v>11</v>
      </c>
      <c r="C25" s="187"/>
      <c r="D25" s="187"/>
      <c r="E25" s="188"/>
      <c r="F25" s="126">
        <f>SUM(F26:F28)</f>
        <v>3458522</v>
      </c>
      <c r="G25" s="126">
        <f t="shared" ref="G25:N25" si="8">SUM(G26:G28)</f>
        <v>949863</v>
      </c>
      <c r="H25" s="126">
        <f t="shared" si="8"/>
        <v>786463</v>
      </c>
      <c r="I25" s="126">
        <f t="shared" si="8"/>
        <v>774463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6">
        <f t="shared" si="8"/>
        <v>0</v>
      </c>
      <c r="N25" s="126">
        <f t="shared" si="8"/>
        <v>2510789</v>
      </c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</row>
    <row r="26" spans="1:211" s="30" customFormat="1" ht="36" customHeight="1">
      <c r="A26" s="25" t="s">
        <v>29</v>
      </c>
      <c r="B26" s="27" t="s">
        <v>30</v>
      </c>
      <c r="C26" s="28" t="s">
        <v>21</v>
      </c>
      <c r="D26" s="25">
        <v>2017</v>
      </c>
      <c r="E26" s="25">
        <v>2022</v>
      </c>
      <c r="F26" s="31">
        <f>240000+5000+100000+105000+110000+50000+52500+55400</f>
        <v>717900</v>
      </c>
      <c r="G26" s="29">
        <f>110000+55400</f>
        <v>165400</v>
      </c>
      <c r="H26" s="29"/>
      <c r="I26" s="29"/>
      <c r="J26" s="29"/>
      <c r="K26" s="29"/>
      <c r="L26" s="29"/>
      <c r="M26" s="29"/>
      <c r="N26" s="31">
        <f>SUM(G26:M26)</f>
        <v>165400</v>
      </c>
    </row>
    <row r="27" spans="1:211" s="30" customFormat="1" ht="70.5" customHeight="1">
      <c r="A27" s="25" t="s">
        <v>31</v>
      </c>
      <c r="B27" s="27" t="s">
        <v>88</v>
      </c>
      <c r="C27" s="28" t="s">
        <v>16</v>
      </c>
      <c r="D27" s="25">
        <v>2021</v>
      </c>
      <c r="E27" s="25">
        <v>2024</v>
      </c>
      <c r="F27" s="31">
        <f>2710622</f>
        <v>2710622</v>
      </c>
      <c r="G27" s="29">
        <v>774463</v>
      </c>
      <c r="H27" s="29">
        <v>774463</v>
      </c>
      <c r="I27" s="29">
        <v>774463</v>
      </c>
      <c r="J27" s="29"/>
      <c r="K27" s="29"/>
      <c r="L27" s="29"/>
      <c r="M27" s="29"/>
      <c r="N27" s="31">
        <f>SUM(G27:M27)</f>
        <v>2323389</v>
      </c>
    </row>
    <row r="28" spans="1:211" s="104" customFormat="1" ht="70.5" customHeight="1">
      <c r="A28" s="25" t="s">
        <v>73</v>
      </c>
      <c r="B28" s="101" t="s">
        <v>295</v>
      </c>
      <c r="C28" s="28" t="s">
        <v>21</v>
      </c>
      <c r="D28" s="25">
        <v>2021</v>
      </c>
      <c r="E28" s="25">
        <v>2023</v>
      </c>
      <c r="F28" s="31">
        <v>30000</v>
      </c>
      <c r="G28" s="29">
        <v>10000</v>
      </c>
      <c r="H28" s="29">
        <v>12000</v>
      </c>
      <c r="I28" s="29"/>
      <c r="J28" s="29"/>
      <c r="K28" s="29"/>
      <c r="L28" s="29"/>
      <c r="M28" s="31"/>
      <c r="N28" s="31">
        <f>SUM(G28:M28)</f>
        <v>22000</v>
      </c>
    </row>
    <row r="29" spans="1:211" s="128" customFormat="1" ht="27" customHeight="1">
      <c r="A29" s="172" t="s">
        <v>32</v>
      </c>
      <c r="B29" s="186" t="s">
        <v>13</v>
      </c>
      <c r="C29" s="187"/>
      <c r="D29" s="187"/>
      <c r="E29" s="188"/>
      <c r="F29" s="126">
        <f>SUM(F30:F58)</f>
        <v>63617669</v>
      </c>
      <c r="G29" s="126">
        <f t="shared" ref="G29:N29" si="9">SUM(G30:G58)</f>
        <v>25260440</v>
      </c>
      <c r="H29" s="126">
        <f t="shared" si="9"/>
        <v>11590000</v>
      </c>
      <c r="I29" s="126">
        <f t="shared" si="9"/>
        <v>7850000</v>
      </c>
      <c r="J29" s="126">
        <f t="shared" si="9"/>
        <v>3007408</v>
      </c>
      <c r="K29" s="126">
        <f t="shared" si="9"/>
        <v>2150000</v>
      </c>
      <c r="L29" s="126">
        <f t="shared" si="9"/>
        <v>2000000</v>
      </c>
      <c r="M29" s="126">
        <f t="shared" si="9"/>
        <v>3150000</v>
      </c>
      <c r="N29" s="126">
        <f t="shared" si="9"/>
        <v>55007848</v>
      </c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</row>
    <row r="30" spans="1:211" s="105" customFormat="1" ht="65.25" customHeight="1">
      <c r="A30" s="13" t="s">
        <v>33</v>
      </c>
      <c r="B30" s="12" t="s">
        <v>308</v>
      </c>
      <c r="C30" s="19" t="s">
        <v>21</v>
      </c>
      <c r="D30" s="18">
        <v>2021</v>
      </c>
      <c r="E30" s="18">
        <v>2024</v>
      </c>
      <c r="F30" s="102">
        <f>70000+240000+200000</f>
        <v>510000</v>
      </c>
      <c r="G30" s="123">
        <v>240000</v>
      </c>
      <c r="H30" s="20">
        <v>100000</v>
      </c>
      <c r="I30" s="20">
        <v>100000</v>
      </c>
      <c r="J30" s="20"/>
      <c r="K30" s="20"/>
      <c r="L30" s="20"/>
      <c r="M30" s="20"/>
      <c r="N30" s="14">
        <f t="shared" ref="N30:N38" si="10">SUM(G30:M30)</f>
        <v>440000</v>
      </c>
    </row>
    <row r="31" spans="1:211" s="105" customFormat="1" ht="46.5" customHeight="1">
      <c r="A31" s="173" t="s">
        <v>35</v>
      </c>
      <c r="B31" s="103" t="s">
        <v>309</v>
      </c>
      <c r="C31" s="19" t="s">
        <v>21</v>
      </c>
      <c r="D31" s="13">
        <v>2021</v>
      </c>
      <c r="E31" s="13">
        <v>2022</v>
      </c>
      <c r="F31" s="14">
        <v>5700000</v>
      </c>
      <c r="G31" s="29">
        <v>4490000</v>
      </c>
      <c r="H31" s="15"/>
      <c r="I31" s="15"/>
      <c r="J31" s="15"/>
      <c r="K31" s="15"/>
      <c r="L31" s="15"/>
      <c r="M31" s="15"/>
      <c r="N31" s="14">
        <f t="shared" si="10"/>
        <v>4490000</v>
      </c>
    </row>
    <row r="32" spans="1:211" s="105" customFormat="1" ht="45.75" customHeight="1">
      <c r="A32" s="13" t="s">
        <v>36</v>
      </c>
      <c r="B32" s="12" t="s">
        <v>310</v>
      </c>
      <c r="C32" s="99" t="s">
        <v>311</v>
      </c>
      <c r="D32" s="13">
        <v>2021</v>
      </c>
      <c r="E32" s="13">
        <v>2022</v>
      </c>
      <c r="F32" s="14">
        <f>720000+600000</f>
        <v>1320000</v>
      </c>
      <c r="G32" s="29">
        <v>600000</v>
      </c>
      <c r="H32" s="15"/>
      <c r="I32" s="15"/>
      <c r="J32" s="15"/>
      <c r="K32" s="15"/>
      <c r="L32" s="15"/>
      <c r="M32" s="15"/>
      <c r="N32" s="14">
        <f t="shared" si="10"/>
        <v>600000</v>
      </c>
    </row>
    <row r="33" spans="1:14" s="112" customFormat="1" ht="37.5" customHeight="1">
      <c r="A33" s="173" t="s">
        <v>85</v>
      </c>
      <c r="B33" s="98" t="s">
        <v>91</v>
      </c>
      <c r="C33" s="97" t="s">
        <v>62</v>
      </c>
      <c r="D33" s="13">
        <v>2018</v>
      </c>
      <c r="E33" s="13">
        <v>2024</v>
      </c>
      <c r="F33" s="14">
        <f>11000000+84332</f>
        <v>11084332</v>
      </c>
      <c r="G33" s="29">
        <v>4000000</v>
      </c>
      <c r="H33" s="15">
        <v>5350000</v>
      </c>
      <c r="I33" s="15">
        <v>1650000</v>
      </c>
      <c r="J33" s="15"/>
      <c r="K33" s="15"/>
      <c r="L33" s="15"/>
      <c r="M33" s="15"/>
      <c r="N33" s="14">
        <f t="shared" si="10"/>
        <v>11000000</v>
      </c>
    </row>
    <row r="34" spans="1:14" s="129" customFormat="1" ht="45.75" customHeight="1">
      <c r="A34" s="13" t="s">
        <v>37</v>
      </c>
      <c r="B34" s="12" t="s">
        <v>66</v>
      </c>
      <c r="C34" s="137" t="s">
        <v>34</v>
      </c>
      <c r="D34" s="13">
        <v>2015</v>
      </c>
      <c r="E34" s="13">
        <v>2023</v>
      </c>
      <c r="F34" s="14">
        <f>1349861+500000-100000-8361+100000-150000</f>
        <v>1691500</v>
      </c>
      <c r="G34" s="29"/>
      <c r="H34" s="15">
        <v>350000</v>
      </c>
      <c r="I34" s="15"/>
      <c r="J34" s="15"/>
      <c r="K34" s="15"/>
      <c r="L34" s="15"/>
      <c r="M34" s="15"/>
      <c r="N34" s="14">
        <f t="shared" si="10"/>
        <v>350000</v>
      </c>
    </row>
    <row r="35" spans="1:14" s="106" customFormat="1" ht="46.5" customHeight="1">
      <c r="A35" s="173" t="s">
        <v>38</v>
      </c>
      <c r="B35" s="103" t="s">
        <v>41</v>
      </c>
      <c r="C35" s="138" t="s">
        <v>34</v>
      </c>
      <c r="D35" s="139">
        <v>2017</v>
      </c>
      <c r="E35" s="139">
        <v>2023</v>
      </c>
      <c r="F35" s="140">
        <f>248413</f>
        <v>248413</v>
      </c>
      <c r="G35" s="165"/>
      <c r="H35" s="141">
        <v>220000</v>
      </c>
      <c r="I35" s="141"/>
      <c r="J35" s="141"/>
      <c r="K35" s="141"/>
      <c r="L35" s="141"/>
      <c r="M35" s="141"/>
      <c r="N35" s="14">
        <f t="shared" si="10"/>
        <v>220000</v>
      </c>
    </row>
    <row r="36" spans="1:14" s="106" customFormat="1" ht="39.75" customHeight="1">
      <c r="A36" s="13" t="s">
        <v>39</v>
      </c>
      <c r="B36" s="12" t="s">
        <v>52</v>
      </c>
      <c r="C36" s="137" t="s">
        <v>34</v>
      </c>
      <c r="D36" s="13">
        <v>2017</v>
      </c>
      <c r="E36" s="13">
        <v>2028</v>
      </c>
      <c r="F36" s="14">
        <f>700000+500000-10396</f>
        <v>1189604</v>
      </c>
      <c r="G36" s="29"/>
      <c r="H36" s="15"/>
      <c r="I36" s="15">
        <v>150000</v>
      </c>
      <c r="J36" s="15">
        <v>150000</v>
      </c>
      <c r="K36" s="15">
        <v>150000</v>
      </c>
      <c r="L36" s="15"/>
      <c r="M36" s="15">
        <v>150000</v>
      </c>
      <c r="N36" s="14">
        <f t="shared" si="10"/>
        <v>600000</v>
      </c>
    </row>
    <row r="37" spans="1:14" s="106" customFormat="1" ht="36" customHeight="1">
      <c r="A37" s="173" t="s">
        <v>40</v>
      </c>
      <c r="B37" s="142" t="s">
        <v>60</v>
      </c>
      <c r="C37" s="143" t="s">
        <v>34</v>
      </c>
      <c r="D37" s="144">
        <v>2017</v>
      </c>
      <c r="E37" s="144">
        <v>2025</v>
      </c>
      <c r="F37" s="145">
        <v>845000</v>
      </c>
      <c r="G37" s="166"/>
      <c r="H37" s="146"/>
      <c r="I37" s="146">
        <v>300000</v>
      </c>
      <c r="J37" s="146">
        <v>250000</v>
      </c>
      <c r="K37" s="146"/>
      <c r="L37" s="146"/>
      <c r="M37" s="146"/>
      <c r="N37" s="14">
        <f t="shared" si="10"/>
        <v>550000</v>
      </c>
    </row>
    <row r="38" spans="1:14" s="106" customFormat="1" ht="36.75" customHeight="1">
      <c r="A38" s="13" t="s">
        <v>42</v>
      </c>
      <c r="B38" s="147" t="s">
        <v>65</v>
      </c>
      <c r="C38" s="19" t="s">
        <v>34</v>
      </c>
      <c r="D38" s="18">
        <v>2017</v>
      </c>
      <c r="E38" s="18">
        <v>2024</v>
      </c>
      <c r="F38" s="102">
        <v>850000</v>
      </c>
      <c r="G38" s="123"/>
      <c r="H38" s="20"/>
      <c r="I38" s="20">
        <v>550000</v>
      </c>
      <c r="J38" s="20"/>
      <c r="K38" s="20"/>
      <c r="L38" s="20"/>
      <c r="M38" s="20"/>
      <c r="N38" s="14">
        <f t="shared" si="10"/>
        <v>550000</v>
      </c>
    </row>
    <row r="39" spans="1:14" s="16" customFormat="1" ht="64.5" customHeight="1">
      <c r="A39" s="173" t="s">
        <v>43</v>
      </c>
      <c r="B39" s="131" t="s">
        <v>82</v>
      </c>
      <c r="C39" s="132" t="s">
        <v>34</v>
      </c>
      <c r="D39" s="13">
        <v>2018</v>
      </c>
      <c r="E39" s="13">
        <v>2025</v>
      </c>
      <c r="F39" s="135">
        <f>1739938-1181600+1607408</f>
        <v>2165746</v>
      </c>
      <c r="G39" s="167"/>
      <c r="H39" s="133">
        <v>100000</v>
      </c>
      <c r="I39" s="133">
        <v>200000</v>
      </c>
      <c r="J39" s="133">
        <v>1307408</v>
      </c>
      <c r="K39" s="133"/>
      <c r="L39" s="133"/>
      <c r="M39" s="133"/>
      <c r="N39" s="14">
        <f t="shared" ref="N39:N40" si="11">SUM(G39:M39)</f>
        <v>1607408</v>
      </c>
    </row>
    <row r="40" spans="1:14" s="111" customFormat="1" ht="122.25" customHeight="1">
      <c r="A40" s="13" t="s">
        <v>44</v>
      </c>
      <c r="B40" s="101" t="s">
        <v>86</v>
      </c>
      <c r="C40" s="28" t="s">
        <v>94</v>
      </c>
      <c r="D40" s="25">
        <v>2020</v>
      </c>
      <c r="E40" s="25">
        <v>2023</v>
      </c>
      <c r="F40" s="31">
        <v>2500000</v>
      </c>
      <c r="G40" s="29">
        <v>1500000</v>
      </c>
      <c r="H40" s="29">
        <v>1000000</v>
      </c>
      <c r="I40" s="110"/>
      <c r="J40" s="110"/>
      <c r="K40" s="110"/>
      <c r="L40" s="110"/>
      <c r="M40" s="110"/>
      <c r="N40" s="31">
        <f t="shared" si="11"/>
        <v>2500000</v>
      </c>
    </row>
    <row r="41" spans="1:14" s="106" customFormat="1" ht="40.5" customHeight="1">
      <c r="A41" s="173" t="s">
        <v>45</v>
      </c>
      <c r="B41" s="148" t="s">
        <v>76</v>
      </c>
      <c r="C41" s="149" t="s">
        <v>75</v>
      </c>
      <c r="D41" s="150">
        <v>2020</v>
      </c>
      <c r="E41" s="150">
        <v>2024</v>
      </c>
      <c r="F41" s="151">
        <v>1500000</v>
      </c>
      <c r="G41" s="168">
        <v>80000</v>
      </c>
      <c r="H41" s="136">
        <v>420000</v>
      </c>
      <c r="I41" s="136">
        <v>100000</v>
      </c>
      <c r="J41" s="136"/>
      <c r="K41" s="136"/>
      <c r="L41" s="136"/>
      <c r="M41" s="136"/>
      <c r="N41" s="14">
        <f>SUM(G41:M41)</f>
        <v>600000</v>
      </c>
    </row>
    <row r="42" spans="1:14" s="100" customFormat="1" ht="48.75" customHeight="1">
      <c r="A42" s="13" t="s">
        <v>46</v>
      </c>
      <c r="B42" s="148" t="s">
        <v>77</v>
      </c>
      <c r="C42" s="149" t="s">
        <v>75</v>
      </c>
      <c r="D42" s="150">
        <v>2020</v>
      </c>
      <c r="E42" s="150">
        <v>2028</v>
      </c>
      <c r="F42" s="151">
        <f>2252000+9000000-2252000</f>
        <v>9000000</v>
      </c>
      <c r="G42" s="168"/>
      <c r="H42" s="136"/>
      <c r="I42" s="136">
        <v>1000000</v>
      </c>
      <c r="J42" s="136">
        <v>1000000</v>
      </c>
      <c r="K42" s="136">
        <v>2000000</v>
      </c>
      <c r="L42" s="136">
        <v>2000000</v>
      </c>
      <c r="M42" s="136">
        <v>3000000</v>
      </c>
      <c r="N42" s="14">
        <f>SUM(G42:M42)</f>
        <v>9000000</v>
      </c>
    </row>
    <row r="43" spans="1:14" s="106" customFormat="1" ht="37.5" customHeight="1">
      <c r="A43" s="173" t="s">
        <v>47</v>
      </c>
      <c r="B43" s="148" t="s">
        <v>90</v>
      </c>
      <c r="C43" s="149" t="s">
        <v>75</v>
      </c>
      <c r="D43" s="150">
        <v>2020</v>
      </c>
      <c r="E43" s="150">
        <v>2024</v>
      </c>
      <c r="F43" s="151">
        <v>4500000</v>
      </c>
      <c r="G43" s="168"/>
      <c r="H43" s="136">
        <v>1000000</v>
      </c>
      <c r="I43" s="136">
        <v>3500000</v>
      </c>
      <c r="J43" s="136"/>
      <c r="K43" s="136"/>
      <c r="L43" s="136"/>
      <c r="M43" s="136"/>
      <c r="N43" s="14">
        <f>SUM(G43:M43)</f>
        <v>4500000</v>
      </c>
    </row>
    <row r="44" spans="1:14" s="106" customFormat="1" ht="51" customHeight="1">
      <c r="A44" s="13" t="s">
        <v>48</v>
      </c>
      <c r="B44" s="148" t="s">
        <v>78</v>
      </c>
      <c r="C44" s="149" t="s">
        <v>75</v>
      </c>
      <c r="D44" s="150">
        <v>2020</v>
      </c>
      <c r="E44" s="150">
        <v>2023</v>
      </c>
      <c r="F44" s="151">
        <v>350000</v>
      </c>
      <c r="G44" s="168"/>
      <c r="H44" s="136">
        <v>350000</v>
      </c>
      <c r="I44" s="136"/>
      <c r="J44" s="136"/>
      <c r="K44" s="136"/>
      <c r="L44" s="136"/>
      <c r="M44" s="136"/>
      <c r="N44" s="14">
        <f>SUM(G44:M44)</f>
        <v>350000</v>
      </c>
    </row>
    <row r="45" spans="1:14" s="106" customFormat="1" ht="32.25" customHeight="1">
      <c r="A45" s="173" t="s">
        <v>49</v>
      </c>
      <c r="B45" s="148" t="s">
        <v>79</v>
      </c>
      <c r="C45" s="149" t="s">
        <v>75</v>
      </c>
      <c r="D45" s="150">
        <v>2019</v>
      </c>
      <c r="E45" s="150">
        <v>2025</v>
      </c>
      <c r="F45" s="151">
        <v>350000</v>
      </c>
      <c r="G45" s="168"/>
      <c r="H45" s="136"/>
      <c r="I45" s="136">
        <v>100000</v>
      </c>
      <c r="J45" s="136">
        <v>100000</v>
      </c>
      <c r="K45" s="136"/>
      <c r="L45" s="136"/>
      <c r="M45" s="136"/>
      <c r="N45" s="14">
        <f t="shared" ref="N45:N58" si="12">SUM(G45:M45)</f>
        <v>200000</v>
      </c>
    </row>
    <row r="46" spans="1:14" s="100" customFormat="1" ht="39" customHeight="1">
      <c r="A46" s="13" t="s">
        <v>50</v>
      </c>
      <c r="B46" s="148" t="s">
        <v>80</v>
      </c>
      <c r="C46" s="149" t="s">
        <v>75</v>
      </c>
      <c r="D46" s="150">
        <v>2020</v>
      </c>
      <c r="E46" s="150">
        <v>2025</v>
      </c>
      <c r="F46" s="151">
        <f>700000+50000</f>
        <v>750000</v>
      </c>
      <c r="G46" s="168"/>
      <c r="H46" s="136">
        <v>200000</v>
      </c>
      <c r="I46" s="136">
        <v>200000</v>
      </c>
      <c r="J46" s="136">
        <v>200000</v>
      </c>
      <c r="K46" s="136"/>
      <c r="L46" s="136"/>
      <c r="M46" s="136"/>
      <c r="N46" s="14">
        <f t="shared" si="12"/>
        <v>600000</v>
      </c>
    </row>
    <row r="47" spans="1:14" s="107" customFormat="1" ht="36.75" customHeight="1">
      <c r="A47" s="173" t="s">
        <v>51</v>
      </c>
      <c r="B47" s="152" t="s">
        <v>93</v>
      </c>
      <c r="C47" s="153" t="s">
        <v>75</v>
      </c>
      <c r="D47" s="18">
        <v>2020</v>
      </c>
      <c r="E47" s="18">
        <v>2022</v>
      </c>
      <c r="F47" s="155">
        <f>1000000-150000+56000-48723-305878+96465+3535</f>
        <v>651399</v>
      </c>
      <c r="G47" s="169">
        <v>300000</v>
      </c>
      <c r="H47" s="154"/>
      <c r="I47" s="154"/>
      <c r="J47" s="154"/>
      <c r="K47" s="156"/>
      <c r="L47" s="156"/>
      <c r="M47" s="156"/>
      <c r="N47" s="14">
        <f t="shared" si="12"/>
        <v>300000</v>
      </c>
    </row>
    <row r="48" spans="1:14" s="107" customFormat="1" ht="45.75" customHeight="1">
      <c r="A48" s="13" t="s">
        <v>53</v>
      </c>
      <c r="B48" s="152" t="s">
        <v>293</v>
      </c>
      <c r="C48" s="153" t="s">
        <v>75</v>
      </c>
      <c r="D48" s="18">
        <v>2020</v>
      </c>
      <c r="E48" s="18">
        <v>2023</v>
      </c>
      <c r="F48" s="155">
        <v>3659900</v>
      </c>
      <c r="G48" s="169">
        <v>1000000</v>
      </c>
      <c r="H48" s="174">
        <v>2500000</v>
      </c>
      <c r="I48" s="156"/>
      <c r="J48" s="156"/>
      <c r="K48" s="156"/>
      <c r="L48" s="156"/>
      <c r="M48" s="156"/>
      <c r="N48" s="14">
        <f t="shared" si="12"/>
        <v>3500000</v>
      </c>
    </row>
    <row r="49" spans="1:14" s="107" customFormat="1" ht="50.25" customHeight="1">
      <c r="A49" s="173" t="s">
        <v>54</v>
      </c>
      <c r="B49" s="157" t="s">
        <v>297</v>
      </c>
      <c r="C49" s="132" t="s">
        <v>75</v>
      </c>
      <c r="D49" s="13">
        <v>2019</v>
      </c>
      <c r="E49" s="13">
        <v>2022</v>
      </c>
      <c r="F49" s="135">
        <f>5500000+221775+15000</f>
        <v>5736775</v>
      </c>
      <c r="G49" s="167">
        <v>4500000</v>
      </c>
      <c r="H49" s="158"/>
      <c r="I49" s="158"/>
      <c r="J49" s="158"/>
      <c r="K49" s="158"/>
      <c r="L49" s="158"/>
      <c r="M49" s="158"/>
      <c r="N49" s="14">
        <f t="shared" si="12"/>
        <v>4500000</v>
      </c>
    </row>
    <row r="50" spans="1:14" s="100" customFormat="1" ht="51.75" customHeight="1">
      <c r="A50" s="13" t="s">
        <v>55</v>
      </c>
      <c r="B50" s="159" t="s">
        <v>312</v>
      </c>
      <c r="C50" s="132" t="s">
        <v>75</v>
      </c>
      <c r="D50" s="13">
        <v>2021</v>
      </c>
      <c r="E50" s="13">
        <v>2022</v>
      </c>
      <c r="F50" s="135">
        <v>3500000</v>
      </c>
      <c r="G50" s="167">
        <v>3300000</v>
      </c>
      <c r="H50" s="133"/>
      <c r="I50" s="133"/>
      <c r="J50" s="133"/>
      <c r="K50" s="133"/>
      <c r="L50" s="133"/>
      <c r="M50" s="133"/>
      <c r="N50" s="14">
        <f t="shared" si="12"/>
        <v>3300000</v>
      </c>
    </row>
    <row r="51" spans="1:14" s="100" customFormat="1" ht="45.75" customHeight="1">
      <c r="A51" s="173" t="s">
        <v>56</v>
      </c>
      <c r="B51" s="131" t="s">
        <v>300</v>
      </c>
      <c r="C51" s="132" t="s">
        <v>75</v>
      </c>
      <c r="D51" s="13">
        <v>2021</v>
      </c>
      <c r="E51" s="13">
        <v>2022</v>
      </c>
      <c r="F51" s="14">
        <v>250000</v>
      </c>
      <c r="G51" s="167">
        <v>150000</v>
      </c>
      <c r="H51" s="160" t="s">
        <v>298</v>
      </c>
      <c r="I51" s="160"/>
      <c r="J51" s="160"/>
      <c r="K51" s="160"/>
      <c r="L51" s="160"/>
      <c r="M51" s="160"/>
      <c r="N51" s="14">
        <f t="shared" si="12"/>
        <v>150000</v>
      </c>
    </row>
    <row r="52" spans="1:14" s="100" customFormat="1" ht="46.5" customHeight="1">
      <c r="A52" s="13" t="s">
        <v>57</v>
      </c>
      <c r="B52" s="131" t="s">
        <v>301</v>
      </c>
      <c r="C52" s="132" t="s">
        <v>75</v>
      </c>
      <c r="D52" s="13">
        <v>2021</v>
      </c>
      <c r="E52" s="13">
        <v>2022</v>
      </c>
      <c r="F52" s="135">
        <v>200000</v>
      </c>
      <c r="G52" s="167">
        <v>164170</v>
      </c>
      <c r="H52" s="133"/>
      <c r="I52" s="133"/>
      <c r="J52" s="133"/>
      <c r="K52" s="133"/>
      <c r="L52" s="133"/>
      <c r="M52" s="133"/>
      <c r="N52" s="14">
        <f t="shared" si="12"/>
        <v>164170</v>
      </c>
    </row>
    <row r="53" spans="1:14" s="100" customFormat="1" ht="49.5" customHeight="1">
      <c r="A53" s="173" t="s">
        <v>58</v>
      </c>
      <c r="B53" s="12" t="s">
        <v>304</v>
      </c>
      <c r="C53" s="132" t="s">
        <v>75</v>
      </c>
      <c r="D53" s="13">
        <v>2021</v>
      </c>
      <c r="E53" s="13">
        <v>2022</v>
      </c>
      <c r="F53" s="135">
        <v>200000</v>
      </c>
      <c r="G53" s="167">
        <v>179090</v>
      </c>
      <c r="H53" s="133"/>
      <c r="I53" s="133"/>
      <c r="J53" s="133"/>
      <c r="K53" s="133"/>
      <c r="L53" s="133"/>
      <c r="M53" s="133"/>
      <c r="N53" s="14">
        <f t="shared" si="12"/>
        <v>179090</v>
      </c>
    </row>
    <row r="54" spans="1:14" s="100" customFormat="1" ht="39.75" customHeight="1">
      <c r="A54" s="13" t="s">
        <v>59</v>
      </c>
      <c r="B54" s="131" t="s">
        <v>302</v>
      </c>
      <c r="C54" s="132" t="s">
        <v>75</v>
      </c>
      <c r="D54" s="13">
        <v>2021</v>
      </c>
      <c r="E54" s="13">
        <v>2022</v>
      </c>
      <c r="F54" s="135">
        <v>200000</v>
      </c>
      <c r="G54" s="167">
        <v>179090</v>
      </c>
      <c r="H54" s="133"/>
      <c r="I54" s="133"/>
      <c r="J54" s="133"/>
      <c r="K54" s="133"/>
      <c r="L54" s="133"/>
      <c r="M54" s="133"/>
      <c r="N54" s="14">
        <f t="shared" si="12"/>
        <v>179090</v>
      </c>
    </row>
    <row r="55" spans="1:14" s="100" customFormat="1" ht="47.25" customHeight="1">
      <c r="A55" s="173" t="s">
        <v>61</v>
      </c>
      <c r="B55" s="131" t="s">
        <v>303</v>
      </c>
      <c r="C55" s="132" t="s">
        <v>75</v>
      </c>
      <c r="D55" s="13">
        <v>2021</v>
      </c>
      <c r="E55" s="13">
        <v>2022</v>
      </c>
      <c r="F55" s="135">
        <v>200000</v>
      </c>
      <c r="G55" s="167">
        <v>179090</v>
      </c>
      <c r="H55" s="133"/>
      <c r="I55" s="133"/>
      <c r="J55" s="133"/>
      <c r="K55" s="133"/>
      <c r="L55" s="133"/>
      <c r="M55" s="133"/>
      <c r="N55" s="14">
        <f t="shared" si="12"/>
        <v>179090</v>
      </c>
    </row>
    <row r="56" spans="1:14" s="100" customFormat="1" ht="54.75" customHeight="1">
      <c r="A56" s="13" t="s">
        <v>63</v>
      </c>
      <c r="B56" s="131" t="s">
        <v>306</v>
      </c>
      <c r="C56" s="132" t="s">
        <v>75</v>
      </c>
      <c r="D56" s="13">
        <v>2021</v>
      </c>
      <c r="E56" s="13">
        <v>2022</v>
      </c>
      <c r="F56" s="135">
        <v>250000</v>
      </c>
      <c r="G56" s="167">
        <v>249000</v>
      </c>
      <c r="H56" s="133"/>
      <c r="I56" s="133"/>
      <c r="J56" s="133"/>
      <c r="K56" s="133"/>
      <c r="L56" s="133"/>
      <c r="M56" s="133"/>
      <c r="N56" s="14">
        <f t="shared" si="12"/>
        <v>249000</v>
      </c>
    </row>
    <row r="57" spans="1:14" s="100" customFormat="1" ht="65.25" customHeight="1">
      <c r="A57" s="173" t="s">
        <v>64</v>
      </c>
      <c r="B57" s="177" t="s">
        <v>307</v>
      </c>
      <c r="C57" s="132" t="s">
        <v>75</v>
      </c>
      <c r="D57" s="13">
        <v>2021</v>
      </c>
      <c r="E57" s="13">
        <v>2022</v>
      </c>
      <c r="F57" s="135">
        <v>4000000</v>
      </c>
      <c r="G57" s="167">
        <v>4000000</v>
      </c>
      <c r="H57" s="133"/>
      <c r="I57" s="161"/>
      <c r="J57" s="161"/>
      <c r="K57" s="161"/>
      <c r="L57" s="161"/>
      <c r="M57" s="161"/>
      <c r="N57" s="14">
        <f t="shared" si="12"/>
        <v>4000000</v>
      </c>
    </row>
    <row r="58" spans="1:14" s="100" customFormat="1" ht="36" customHeight="1">
      <c r="A58" s="173" t="s">
        <v>315</v>
      </c>
      <c r="B58" s="178" t="s">
        <v>316</v>
      </c>
      <c r="C58" s="176" t="s">
        <v>75</v>
      </c>
      <c r="D58" s="13">
        <v>2021</v>
      </c>
      <c r="E58" s="13">
        <v>2022</v>
      </c>
      <c r="F58" s="155">
        <v>215000</v>
      </c>
      <c r="G58" s="169">
        <v>150000</v>
      </c>
      <c r="H58" s="175"/>
      <c r="I58" s="175"/>
      <c r="J58" s="175"/>
      <c r="K58" s="175"/>
      <c r="L58" s="175"/>
      <c r="M58" s="175"/>
      <c r="N58" s="14">
        <f t="shared" si="12"/>
        <v>150000</v>
      </c>
    </row>
    <row r="59" spans="1:14" s="100" customFormat="1">
      <c r="A59" s="108"/>
      <c r="C59" s="109"/>
      <c r="D59" s="108"/>
      <c r="E59" s="108"/>
      <c r="F59" s="106"/>
      <c r="G59" s="111"/>
      <c r="N59" s="106"/>
    </row>
    <row r="60" spans="1:14" s="100" customFormat="1">
      <c r="A60" s="108"/>
      <c r="C60" s="109"/>
      <c r="D60" s="108"/>
      <c r="E60" s="108"/>
      <c r="F60" s="106"/>
      <c r="G60" s="170"/>
      <c r="N60" s="106"/>
    </row>
    <row r="61" spans="1:14" s="16" customFormat="1">
      <c r="A61" s="26"/>
      <c r="C61" s="23"/>
      <c r="D61" s="26"/>
      <c r="E61" s="26"/>
      <c r="F61" s="9"/>
      <c r="G61" s="111"/>
      <c r="N61" s="9"/>
    </row>
    <row r="62" spans="1:14" s="16" customFormat="1">
      <c r="A62" s="26"/>
      <c r="C62" s="23"/>
      <c r="D62" s="26"/>
      <c r="E62" s="26"/>
      <c r="F62" s="9"/>
      <c r="G62" s="111"/>
      <c r="N62" s="9"/>
    </row>
    <row r="63" spans="1:14" s="16" customFormat="1">
      <c r="A63" s="26"/>
      <c r="C63" s="23"/>
      <c r="D63" s="26"/>
      <c r="E63" s="26"/>
      <c r="F63" s="9"/>
      <c r="G63" s="111"/>
      <c r="N63" s="9"/>
    </row>
    <row r="64" spans="1:14" s="16" customFormat="1">
      <c r="A64" s="26"/>
      <c r="C64" s="23"/>
      <c r="D64" s="26"/>
      <c r="E64" s="26"/>
      <c r="F64" s="9"/>
      <c r="G64" s="111"/>
      <c r="N64" s="9"/>
    </row>
    <row r="65" spans="1:14" s="16" customFormat="1">
      <c r="A65" s="26"/>
      <c r="C65" s="23"/>
      <c r="D65" s="26"/>
      <c r="E65" s="26"/>
      <c r="F65" s="9"/>
      <c r="G65" s="111"/>
      <c r="N65" s="9"/>
    </row>
    <row r="66" spans="1:14" s="16" customFormat="1">
      <c r="A66" s="26"/>
      <c r="C66" s="23"/>
      <c r="D66" s="26"/>
      <c r="E66" s="26"/>
      <c r="F66" s="9"/>
      <c r="G66" s="111"/>
      <c r="N66" s="9"/>
    </row>
    <row r="67" spans="1:14" s="16" customFormat="1">
      <c r="A67" s="26"/>
      <c r="C67" s="23"/>
      <c r="D67" s="26"/>
      <c r="E67" s="26"/>
      <c r="F67" s="9"/>
      <c r="G67" s="111"/>
      <c r="N67" s="9"/>
    </row>
    <row r="68" spans="1:14" s="16" customFormat="1">
      <c r="A68" s="26"/>
      <c r="C68" s="23"/>
      <c r="D68" s="26"/>
      <c r="E68" s="26"/>
      <c r="F68" s="9"/>
      <c r="G68" s="111"/>
      <c r="N68" s="9"/>
    </row>
    <row r="69" spans="1:14" s="16" customFormat="1">
      <c r="A69" s="26"/>
      <c r="C69" s="23"/>
      <c r="D69" s="26"/>
      <c r="E69" s="26"/>
      <c r="F69" s="9"/>
      <c r="G69" s="111"/>
      <c r="N69" s="9"/>
    </row>
    <row r="70" spans="1:14" s="16" customFormat="1">
      <c r="A70" s="26"/>
      <c r="C70" s="23"/>
      <c r="D70" s="26"/>
      <c r="E70" s="26"/>
      <c r="F70" s="9"/>
      <c r="G70" s="111"/>
      <c r="N70" s="9"/>
    </row>
    <row r="71" spans="1:14" s="16" customFormat="1">
      <c r="A71" s="26"/>
      <c r="C71" s="23"/>
      <c r="D71" s="26"/>
      <c r="E71" s="26"/>
      <c r="F71" s="9"/>
      <c r="G71" s="111"/>
      <c r="N71" s="9"/>
    </row>
    <row r="72" spans="1:14" s="16" customFormat="1">
      <c r="A72" s="26"/>
      <c r="C72" s="23"/>
      <c r="D72" s="26"/>
      <c r="E72" s="26"/>
      <c r="F72" s="9"/>
      <c r="G72" s="111"/>
      <c r="N72" s="9"/>
    </row>
    <row r="73" spans="1:14" s="16" customFormat="1">
      <c r="A73" s="26"/>
      <c r="C73" s="23"/>
      <c r="D73" s="26"/>
      <c r="E73" s="26"/>
      <c r="F73" s="9"/>
      <c r="G73" s="111"/>
      <c r="N73" s="9"/>
    </row>
    <row r="74" spans="1:14" s="16" customFormat="1">
      <c r="A74" s="26"/>
      <c r="C74" s="23"/>
      <c r="D74" s="26"/>
      <c r="E74" s="26"/>
      <c r="F74" s="9"/>
      <c r="G74" s="111"/>
      <c r="N74" s="9"/>
    </row>
    <row r="75" spans="1:14" s="16" customFormat="1">
      <c r="A75" s="26"/>
      <c r="C75" s="23"/>
      <c r="D75" s="26"/>
      <c r="E75" s="26"/>
      <c r="F75" s="9"/>
      <c r="G75" s="111"/>
      <c r="N75" s="9"/>
    </row>
    <row r="76" spans="1:14" s="16" customFormat="1">
      <c r="A76" s="26"/>
      <c r="C76" s="23"/>
      <c r="D76" s="26"/>
      <c r="E76" s="26"/>
      <c r="F76" s="9"/>
      <c r="G76" s="111"/>
      <c r="N76" s="9"/>
    </row>
    <row r="77" spans="1:14" s="16" customFormat="1">
      <c r="A77" s="26"/>
      <c r="C77" s="23"/>
      <c r="D77" s="26"/>
      <c r="E77" s="26"/>
      <c r="F77" s="9"/>
      <c r="G77" s="111"/>
      <c r="N77" s="9"/>
    </row>
    <row r="78" spans="1:14" s="16" customFormat="1">
      <c r="A78" s="26"/>
      <c r="C78" s="23"/>
      <c r="D78" s="26"/>
      <c r="E78" s="26"/>
      <c r="F78" s="9"/>
      <c r="G78" s="111"/>
      <c r="N78" s="9"/>
    </row>
    <row r="79" spans="1:14" s="16" customFormat="1">
      <c r="A79" s="26"/>
      <c r="C79" s="23"/>
      <c r="D79" s="26"/>
      <c r="E79" s="26"/>
      <c r="F79" s="9"/>
      <c r="G79" s="111"/>
      <c r="N79" s="9"/>
    </row>
    <row r="80" spans="1:14" s="16" customFormat="1">
      <c r="A80" s="26"/>
      <c r="C80" s="23"/>
      <c r="D80" s="26"/>
      <c r="E80" s="26"/>
      <c r="F80" s="9"/>
      <c r="G80" s="111"/>
      <c r="N80" s="9"/>
    </row>
    <row r="81" spans="1:14" s="16" customFormat="1">
      <c r="A81" s="26"/>
      <c r="C81" s="23"/>
      <c r="D81" s="26"/>
      <c r="E81" s="26"/>
      <c r="F81" s="9"/>
      <c r="G81" s="111"/>
      <c r="N81" s="9"/>
    </row>
    <row r="82" spans="1:14" s="16" customFormat="1">
      <c r="A82" s="26"/>
      <c r="C82" s="23"/>
      <c r="D82" s="26"/>
      <c r="E82" s="26"/>
      <c r="F82" s="9"/>
      <c r="G82" s="111"/>
      <c r="N82" s="9"/>
    </row>
    <row r="83" spans="1:14" s="16" customFormat="1">
      <c r="A83" s="26"/>
      <c r="C83" s="23"/>
      <c r="D83" s="26"/>
      <c r="E83" s="26"/>
      <c r="F83" s="9"/>
      <c r="G83" s="111"/>
      <c r="N83" s="9"/>
    </row>
    <row r="84" spans="1:14" s="16" customFormat="1">
      <c r="A84" s="26"/>
      <c r="C84" s="23"/>
      <c r="D84" s="26"/>
      <c r="E84" s="26"/>
      <c r="F84" s="9"/>
      <c r="G84" s="111"/>
      <c r="N84" s="9"/>
    </row>
    <row r="85" spans="1:14" s="16" customFormat="1">
      <c r="A85" s="26"/>
      <c r="C85" s="23"/>
      <c r="D85" s="26"/>
      <c r="E85" s="26"/>
      <c r="F85" s="9"/>
      <c r="G85" s="111"/>
      <c r="N85" s="9"/>
    </row>
    <row r="86" spans="1:14" s="16" customFormat="1">
      <c r="A86" s="26"/>
      <c r="C86" s="23"/>
      <c r="D86" s="26"/>
      <c r="E86" s="26"/>
      <c r="F86" s="9"/>
      <c r="G86" s="111"/>
      <c r="N86" s="9"/>
    </row>
    <row r="87" spans="1:14" s="16" customFormat="1">
      <c r="A87" s="26"/>
      <c r="C87" s="23"/>
      <c r="D87" s="26"/>
      <c r="E87" s="26"/>
      <c r="F87" s="9"/>
      <c r="G87" s="111"/>
      <c r="N87" s="9"/>
    </row>
    <row r="88" spans="1:14" s="16" customFormat="1">
      <c r="A88" s="26"/>
      <c r="C88" s="23"/>
      <c r="D88" s="26"/>
      <c r="E88" s="26"/>
      <c r="F88" s="9"/>
      <c r="G88" s="111"/>
      <c r="N88" s="9"/>
    </row>
    <row r="89" spans="1:14" s="16" customFormat="1">
      <c r="A89" s="26"/>
      <c r="C89" s="23"/>
      <c r="D89" s="26"/>
      <c r="E89" s="26"/>
      <c r="F89" s="9"/>
      <c r="G89" s="111"/>
      <c r="N89" s="9"/>
    </row>
    <row r="90" spans="1:14" s="16" customFormat="1">
      <c r="A90" s="26"/>
      <c r="C90" s="23"/>
      <c r="D90" s="26"/>
      <c r="E90" s="26"/>
      <c r="F90" s="9"/>
      <c r="G90" s="111"/>
      <c r="N90" s="9"/>
    </row>
    <row r="91" spans="1:14" s="16" customFormat="1">
      <c r="A91" s="26"/>
      <c r="C91" s="23"/>
      <c r="D91" s="26"/>
      <c r="E91" s="26"/>
      <c r="F91" s="9"/>
      <c r="G91" s="111"/>
      <c r="N91" s="9"/>
    </row>
    <row r="92" spans="1:14" s="16" customFormat="1">
      <c r="A92" s="26"/>
      <c r="C92" s="23"/>
      <c r="D92" s="26"/>
      <c r="E92" s="26"/>
      <c r="F92" s="9"/>
      <c r="G92" s="111"/>
      <c r="N92" s="9"/>
    </row>
    <row r="93" spans="1:14" s="16" customFormat="1">
      <c r="A93" s="26"/>
      <c r="C93" s="23"/>
      <c r="D93" s="26"/>
      <c r="E93" s="26"/>
      <c r="F93" s="9"/>
      <c r="G93" s="111"/>
      <c r="N93" s="9"/>
    </row>
    <row r="94" spans="1:14" s="16" customFormat="1">
      <c r="A94" s="26"/>
      <c r="C94" s="23"/>
      <c r="D94" s="26"/>
      <c r="E94" s="26"/>
      <c r="F94" s="9"/>
      <c r="G94" s="111"/>
      <c r="N94" s="9"/>
    </row>
    <row r="95" spans="1:14" s="16" customFormat="1">
      <c r="A95" s="26"/>
      <c r="C95" s="23"/>
      <c r="D95" s="26"/>
      <c r="E95" s="26"/>
      <c r="F95" s="9"/>
      <c r="G95" s="111"/>
      <c r="N95" s="9"/>
    </row>
    <row r="96" spans="1:14" s="16" customFormat="1">
      <c r="A96" s="26"/>
      <c r="C96" s="23"/>
      <c r="D96" s="26"/>
      <c r="E96" s="26"/>
      <c r="F96" s="9"/>
      <c r="G96" s="111"/>
      <c r="N96" s="9"/>
    </row>
    <row r="97" spans="1:14" s="16" customFormat="1">
      <c r="A97" s="26"/>
      <c r="C97" s="23"/>
      <c r="D97" s="26"/>
      <c r="E97" s="26"/>
      <c r="F97" s="9"/>
      <c r="G97" s="111"/>
      <c r="N97" s="9"/>
    </row>
    <row r="98" spans="1:14" s="16" customFormat="1">
      <c r="A98" s="26"/>
      <c r="C98" s="23"/>
      <c r="D98" s="26"/>
      <c r="E98" s="26"/>
      <c r="F98" s="9"/>
      <c r="G98" s="111"/>
      <c r="N98" s="9"/>
    </row>
    <row r="99" spans="1:14" s="16" customFormat="1">
      <c r="A99" s="26"/>
      <c r="C99" s="23"/>
      <c r="D99" s="26"/>
      <c r="E99" s="26"/>
      <c r="F99" s="9"/>
      <c r="G99" s="111"/>
      <c r="N99" s="9"/>
    </row>
    <row r="100" spans="1:14" s="16" customFormat="1">
      <c r="A100" s="26"/>
      <c r="C100" s="23"/>
      <c r="D100" s="26"/>
      <c r="E100" s="26"/>
      <c r="F100" s="9"/>
      <c r="G100" s="111"/>
      <c r="N100" s="9"/>
    </row>
    <row r="101" spans="1:14" s="16" customFormat="1">
      <c r="A101" s="26"/>
      <c r="C101" s="23"/>
      <c r="D101" s="26"/>
      <c r="E101" s="26"/>
      <c r="F101" s="9"/>
      <c r="G101" s="111"/>
      <c r="N101" s="9"/>
    </row>
    <row r="102" spans="1:14" s="16" customFormat="1">
      <c r="A102" s="26"/>
      <c r="C102" s="23"/>
      <c r="D102" s="26"/>
      <c r="E102" s="26"/>
      <c r="F102" s="9"/>
      <c r="G102" s="111"/>
      <c r="N102" s="9"/>
    </row>
    <row r="103" spans="1:14" s="16" customFormat="1">
      <c r="A103" s="26"/>
      <c r="C103" s="23"/>
      <c r="D103" s="26"/>
      <c r="E103" s="26"/>
      <c r="F103" s="9"/>
      <c r="G103" s="111"/>
      <c r="N103" s="9"/>
    </row>
    <row r="104" spans="1:14" s="16" customFormat="1">
      <c r="A104" s="26"/>
      <c r="C104" s="23"/>
      <c r="D104" s="26"/>
      <c r="E104" s="26"/>
      <c r="F104" s="9"/>
      <c r="G104" s="111"/>
      <c r="N104" s="9"/>
    </row>
    <row r="105" spans="1:14" s="16" customFormat="1">
      <c r="A105" s="26"/>
      <c r="C105" s="23"/>
      <c r="D105" s="26"/>
      <c r="E105" s="26"/>
      <c r="F105" s="9"/>
      <c r="G105" s="111"/>
      <c r="N105" s="9"/>
    </row>
    <row r="106" spans="1:14" s="16" customFormat="1">
      <c r="A106" s="26"/>
      <c r="C106" s="23"/>
      <c r="D106" s="26"/>
      <c r="E106" s="26"/>
      <c r="F106" s="9"/>
      <c r="G106" s="111"/>
      <c r="N106" s="9"/>
    </row>
    <row r="107" spans="1:14" s="16" customFormat="1">
      <c r="A107" s="26"/>
      <c r="C107" s="23"/>
      <c r="D107" s="26"/>
      <c r="E107" s="26"/>
      <c r="F107" s="9"/>
      <c r="G107" s="111"/>
      <c r="N107" s="9"/>
    </row>
    <row r="108" spans="1:14" s="16" customFormat="1">
      <c r="A108" s="26"/>
      <c r="C108" s="23"/>
      <c r="D108" s="26"/>
      <c r="E108" s="26"/>
      <c r="F108" s="9"/>
      <c r="G108" s="111"/>
      <c r="N108" s="9"/>
    </row>
    <row r="109" spans="1:14" s="16" customFormat="1">
      <c r="A109" s="26"/>
      <c r="C109" s="23"/>
      <c r="D109" s="26"/>
      <c r="E109" s="26"/>
      <c r="F109" s="9"/>
      <c r="G109" s="111"/>
      <c r="N109" s="9"/>
    </row>
    <row r="110" spans="1:14" s="16" customFormat="1">
      <c r="A110" s="26"/>
      <c r="C110" s="23"/>
      <c r="D110" s="26"/>
      <c r="E110" s="26"/>
      <c r="F110" s="9"/>
      <c r="G110" s="111"/>
      <c r="N110" s="9"/>
    </row>
    <row r="111" spans="1:14" s="16" customFormat="1">
      <c r="A111" s="26"/>
      <c r="C111" s="23"/>
      <c r="D111" s="26"/>
      <c r="E111" s="26"/>
      <c r="F111" s="9"/>
      <c r="G111" s="111"/>
      <c r="N111" s="9"/>
    </row>
    <row r="112" spans="1:14" s="16" customFormat="1">
      <c r="A112" s="26"/>
      <c r="C112" s="23"/>
      <c r="D112" s="26"/>
      <c r="E112" s="26"/>
      <c r="F112" s="9"/>
      <c r="G112" s="111"/>
      <c r="N112" s="9"/>
    </row>
    <row r="113" spans="1:14" s="16" customFormat="1">
      <c r="A113" s="26"/>
      <c r="C113" s="23"/>
      <c r="D113" s="26"/>
      <c r="E113" s="26"/>
      <c r="F113" s="9"/>
      <c r="G113" s="111"/>
      <c r="N113" s="9"/>
    </row>
    <row r="114" spans="1:14" s="16" customFormat="1">
      <c r="A114" s="26"/>
      <c r="C114" s="23"/>
      <c r="D114" s="26"/>
      <c r="E114" s="26"/>
      <c r="F114" s="9"/>
      <c r="G114" s="111"/>
      <c r="N114" s="9"/>
    </row>
    <row r="115" spans="1:14" s="16" customFormat="1">
      <c r="A115" s="26"/>
      <c r="C115" s="23"/>
      <c r="D115" s="26"/>
      <c r="E115" s="26"/>
      <c r="F115" s="9"/>
      <c r="G115" s="111"/>
      <c r="N115" s="9"/>
    </row>
    <row r="116" spans="1:14" s="16" customFormat="1">
      <c r="A116" s="26"/>
      <c r="C116" s="23"/>
      <c r="D116" s="26"/>
      <c r="E116" s="26"/>
      <c r="F116" s="9"/>
      <c r="G116" s="111"/>
      <c r="N116" s="9"/>
    </row>
    <row r="117" spans="1:14" s="16" customFormat="1">
      <c r="A117" s="26"/>
      <c r="C117" s="23"/>
      <c r="D117" s="26"/>
      <c r="E117" s="26"/>
      <c r="F117" s="9"/>
      <c r="G117" s="111"/>
      <c r="N117" s="9"/>
    </row>
    <row r="118" spans="1:14" s="16" customFormat="1">
      <c r="A118" s="26"/>
      <c r="C118" s="23"/>
      <c r="D118" s="26"/>
      <c r="E118" s="26"/>
      <c r="F118" s="9"/>
      <c r="G118" s="111"/>
      <c r="N118" s="9"/>
    </row>
    <row r="119" spans="1:14" s="16" customFormat="1">
      <c r="A119" s="26"/>
      <c r="C119" s="23"/>
      <c r="D119" s="26"/>
      <c r="E119" s="26"/>
      <c r="F119" s="9"/>
      <c r="G119" s="111"/>
      <c r="N119" s="9"/>
    </row>
    <row r="120" spans="1:14" s="16" customFormat="1">
      <c r="A120" s="26"/>
      <c r="C120" s="23"/>
      <c r="D120" s="26"/>
      <c r="E120" s="26"/>
      <c r="F120" s="9"/>
      <c r="G120" s="111"/>
      <c r="N120" s="9"/>
    </row>
    <row r="121" spans="1:14" s="16" customFormat="1">
      <c r="A121" s="26"/>
      <c r="C121" s="23"/>
      <c r="D121" s="26"/>
      <c r="E121" s="26"/>
      <c r="F121" s="9"/>
      <c r="G121" s="111"/>
      <c r="N121" s="9"/>
    </row>
    <row r="122" spans="1:14" s="16" customFormat="1">
      <c r="A122" s="26"/>
      <c r="C122" s="23"/>
      <c r="D122" s="26"/>
      <c r="E122" s="26"/>
      <c r="F122" s="9"/>
      <c r="G122" s="111"/>
      <c r="N122" s="9"/>
    </row>
    <row r="123" spans="1:14" s="16" customFormat="1">
      <c r="A123" s="26"/>
      <c r="C123" s="23"/>
      <c r="D123" s="26"/>
      <c r="E123" s="26"/>
      <c r="F123" s="9"/>
      <c r="G123" s="111"/>
      <c r="N123" s="9"/>
    </row>
    <row r="124" spans="1:14" s="16" customFormat="1">
      <c r="A124" s="26"/>
      <c r="C124" s="23"/>
      <c r="D124" s="26"/>
      <c r="E124" s="26"/>
      <c r="F124" s="9"/>
      <c r="G124" s="111"/>
      <c r="N124" s="9"/>
    </row>
    <row r="125" spans="1:14" s="16" customFormat="1">
      <c r="A125" s="26"/>
      <c r="C125" s="23"/>
      <c r="D125" s="26"/>
      <c r="E125" s="26"/>
      <c r="F125" s="9"/>
      <c r="G125" s="111"/>
      <c r="N125" s="9"/>
    </row>
    <row r="126" spans="1:14" s="16" customFormat="1">
      <c r="A126" s="26"/>
      <c r="C126" s="23"/>
      <c r="D126" s="26"/>
      <c r="E126" s="26"/>
      <c r="F126" s="9"/>
      <c r="G126" s="111"/>
      <c r="N126" s="9"/>
    </row>
    <row r="127" spans="1:14" s="16" customFormat="1">
      <c r="A127" s="26"/>
      <c r="C127" s="23"/>
      <c r="D127" s="26"/>
      <c r="E127" s="26"/>
      <c r="F127" s="9"/>
      <c r="G127" s="111"/>
      <c r="N127" s="9"/>
    </row>
    <row r="128" spans="1:14" s="16" customFormat="1">
      <c r="A128" s="26"/>
      <c r="C128" s="23"/>
      <c r="D128" s="26"/>
      <c r="E128" s="26"/>
      <c r="F128" s="9"/>
      <c r="G128" s="111"/>
      <c r="N128" s="9"/>
    </row>
    <row r="129" spans="1:14" s="16" customFormat="1">
      <c r="A129" s="26"/>
      <c r="C129" s="23"/>
      <c r="D129" s="26"/>
      <c r="E129" s="26"/>
      <c r="F129" s="9"/>
      <c r="G129" s="111"/>
      <c r="N129" s="9"/>
    </row>
    <row r="130" spans="1:14" s="16" customFormat="1">
      <c r="A130" s="26"/>
      <c r="C130" s="23"/>
      <c r="D130" s="26"/>
      <c r="E130" s="26"/>
      <c r="F130" s="9"/>
      <c r="G130" s="111"/>
      <c r="N130" s="9"/>
    </row>
    <row r="131" spans="1:14" s="16" customFormat="1">
      <c r="A131" s="26"/>
      <c r="C131" s="23"/>
      <c r="D131" s="26"/>
      <c r="E131" s="26"/>
      <c r="F131" s="9"/>
      <c r="G131" s="111"/>
      <c r="N131" s="9"/>
    </row>
    <row r="132" spans="1:14" s="16" customFormat="1">
      <c r="A132" s="26"/>
      <c r="C132" s="23"/>
      <c r="D132" s="26"/>
      <c r="E132" s="26"/>
      <c r="F132" s="9"/>
      <c r="G132" s="111"/>
      <c r="N132" s="9"/>
    </row>
    <row r="133" spans="1:14" s="16" customFormat="1">
      <c r="A133" s="26"/>
      <c r="C133" s="23"/>
      <c r="D133" s="26"/>
      <c r="E133" s="26"/>
      <c r="F133" s="9"/>
      <c r="G133" s="111"/>
      <c r="N133" s="9"/>
    </row>
    <row r="134" spans="1:14" s="16" customFormat="1">
      <c r="A134" s="26"/>
      <c r="C134" s="23"/>
      <c r="D134" s="26"/>
      <c r="E134" s="26"/>
      <c r="F134" s="9"/>
      <c r="G134" s="111"/>
      <c r="N134" s="9"/>
    </row>
    <row r="135" spans="1:14" s="16" customFormat="1">
      <c r="A135" s="26"/>
      <c r="C135" s="23"/>
      <c r="D135" s="26"/>
      <c r="E135" s="26"/>
      <c r="F135" s="9"/>
      <c r="G135" s="111"/>
      <c r="N135" s="9"/>
    </row>
    <row r="136" spans="1:14" s="16" customFormat="1">
      <c r="A136" s="26"/>
      <c r="C136" s="23"/>
      <c r="D136" s="26"/>
      <c r="E136" s="26"/>
      <c r="F136" s="9"/>
      <c r="G136" s="111"/>
      <c r="N136" s="9"/>
    </row>
    <row r="137" spans="1:14" s="16" customFormat="1">
      <c r="A137" s="26"/>
      <c r="C137" s="23"/>
      <c r="D137" s="26"/>
      <c r="E137" s="26"/>
      <c r="F137" s="9"/>
      <c r="G137" s="111"/>
      <c r="N137" s="9"/>
    </row>
    <row r="138" spans="1:14" s="16" customFormat="1">
      <c r="A138" s="26"/>
      <c r="C138" s="23"/>
      <c r="D138" s="26"/>
      <c r="E138" s="26"/>
      <c r="F138" s="9"/>
      <c r="G138" s="111"/>
      <c r="N138" s="9"/>
    </row>
    <row r="139" spans="1:14" s="16" customFormat="1">
      <c r="A139" s="26"/>
      <c r="C139" s="23"/>
      <c r="D139" s="26"/>
      <c r="E139" s="26"/>
      <c r="F139" s="9"/>
      <c r="G139" s="111"/>
      <c r="N139" s="9"/>
    </row>
    <row r="140" spans="1:14" s="16" customFormat="1">
      <c r="A140" s="26"/>
      <c r="C140" s="23"/>
      <c r="D140" s="26"/>
      <c r="E140" s="26"/>
      <c r="F140" s="9"/>
      <c r="G140" s="111"/>
      <c r="N140" s="9"/>
    </row>
    <row r="141" spans="1:14" s="16" customFormat="1">
      <c r="A141" s="26"/>
      <c r="C141" s="23"/>
      <c r="D141" s="26"/>
      <c r="E141" s="26"/>
      <c r="F141" s="9"/>
      <c r="G141" s="111"/>
      <c r="N141" s="9"/>
    </row>
    <row r="142" spans="1:14" s="16" customFormat="1">
      <c r="A142" s="26"/>
      <c r="C142" s="23"/>
      <c r="D142" s="26"/>
      <c r="E142" s="26"/>
      <c r="F142" s="9"/>
      <c r="G142" s="111"/>
      <c r="N142" s="9"/>
    </row>
    <row r="143" spans="1:14" s="16" customFormat="1">
      <c r="A143" s="26"/>
      <c r="C143" s="23"/>
      <c r="D143" s="26"/>
      <c r="E143" s="26"/>
      <c r="F143" s="9"/>
      <c r="G143" s="111"/>
      <c r="N143" s="9"/>
    </row>
    <row r="144" spans="1:14" s="16" customFormat="1">
      <c r="A144" s="26"/>
      <c r="C144" s="23"/>
      <c r="D144" s="26"/>
      <c r="E144" s="26"/>
      <c r="F144" s="9"/>
      <c r="G144" s="111"/>
      <c r="N144" s="9"/>
    </row>
    <row r="145" spans="1:14" s="16" customFormat="1">
      <c r="A145" s="26"/>
      <c r="C145" s="23"/>
      <c r="D145" s="26"/>
      <c r="E145" s="26"/>
      <c r="F145" s="9"/>
      <c r="G145" s="111"/>
      <c r="N145" s="9"/>
    </row>
    <row r="146" spans="1:14" s="16" customFormat="1">
      <c r="A146" s="26"/>
      <c r="C146" s="23"/>
      <c r="D146" s="26"/>
      <c r="E146" s="26"/>
      <c r="F146" s="9"/>
      <c r="G146" s="111"/>
      <c r="N146" s="9"/>
    </row>
    <row r="147" spans="1:14" s="16" customFormat="1">
      <c r="A147" s="26"/>
      <c r="C147" s="23"/>
      <c r="D147" s="26"/>
      <c r="E147" s="26"/>
      <c r="F147" s="9"/>
      <c r="G147" s="111"/>
      <c r="N147" s="9"/>
    </row>
    <row r="148" spans="1:14" s="16" customFormat="1">
      <c r="A148" s="26"/>
      <c r="C148" s="23"/>
      <c r="D148" s="26"/>
      <c r="E148" s="26"/>
      <c r="F148" s="9"/>
      <c r="G148" s="111"/>
      <c r="N148" s="9"/>
    </row>
    <row r="149" spans="1:14" s="16" customFormat="1">
      <c r="A149" s="26"/>
      <c r="C149" s="23"/>
      <c r="D149" s="26"/>
      <c r="E149" s="26"/>
      <c r="F149" s="9"/>
      <c r="G149" s="111"/>
      <c r="N149" s="9"/>
    </row>
    <row r="150" spans="1:14" s="16" customFormat="1">
      <c r="A150" s="26"/>
      <c r="C150" s="23"/>
      <c r="D150" s="26"/>
      <c r="E150" s="26"/>
      <c r="F150" s="9"/>
      <c r="G150" s="111"/>
      <c r="N150" s="9"/>
    </row>
    <row r="151" spans="1:14" s="16" customFormat="1">
      <c r="A151" s="26"/>
      <c r="C151" s="23"/>
      <c r="D151" s="26"/>
      <c r="E151" s="26"/>
      <c r="F151" s="9"/>
      <c r="G151" s="111"/>
      <c r="N151" s="9"/>
    </row>
    <row r="152" spans="1:14" s="16" customFormat="1">
      <c r="A152" s="26"/>
      <c r="C152" s="23"/>
      <c r="D152" s="26"/>
      <c r="E152" s="26"/>
      <c r="F152" s="9"/>
      <c r="G152" s="111"/>
      <c r="N152" s="9"/>
    </row>
  </sheetData>
  <sheetProtection algorithmName="SHA-512" hashValue="TOevS9ARdZaxEdU5BcERlOEZ6lkyk5muUz5yK5UipCPm787oaTtzalfDLbbASUN0KDSWsitq8wv8dw3D5VlynA==" saltValue="0rFixRzSdESYs0MqUUDZgA==" spinCount="100000" sheet="1" objects="1" scenarios="1"/>
  <mergeCells count="20">
    <mergeCell ref="B29:E29"/>
    <mergeCell ref="B7:E7"/>
    <mergeCell ref="B8:E8"/>
    <mergeCell ref="B9:E9"/>
    <mergeCell ref="B10:E10"/>
    <mergeCell ref="B11:E11"/>
    <mergeCell ref="B19:E19"/>
    <mergeCell ref="B21:E21"/>
    <mergeCell ref="B22:E22"/>
    <mergeCell ref="B23:E23"/>
    <mergeCell ref="B24:E24"/>
    <mergeCell ref="B25:E25"/>
    <mergeCell ref="A1:N1"/>
    <mergeCell ref="A4:A5"/>
    <mergeCell ref="B4:B5"/>
    <mergeCell ref="C4:C5"/>
    <mergeCell ref="D4:E4"/>
    <mergeCell ref="F4:F5"/>
    <mergeCell ref="G4:M4"/>
    <mergeCell ref="N4:N5"/>
  </mergeCells>
  <pageMargins left="0.51181102362204722" right="0.51181102362204722" top="0.74803149606299213" bottom="0.55118110236220474" header="0.31496062992125984" footer="0.31496062992125984"/>
  <pageSetup paperSize="9" scale="60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 ..............
Rady  Powiatu  Otwockiego
z dnia 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Zał.1</vt:lpstr>
      <vt:lpstr>Zał. 2 </vt:lpstr>
      <vt:lpstr>Zał.1!Obszar_wydruku</vt:lpstr>
      <vt:lpstr>'Zał. 2 '!Tytuły_wydruku</vt:lpstr>
      <vt:lpstr>Zał.1!Tytuły_wydruku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2021-11-15T08:09:42Z</dcterms:modified>
</cp:coreProperties>
</file>