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urorady\Desktop\materiały na sesję\"/>
    </mc:Choice>
  </mc:AlternateContent>
  <bookViews>
    <workbookView xWindow="0" yWindow="0" windowWidth="16875" windowHeight="8145" tabRatio="821" activeTab="1"/>
  </bookViews>
  <sheets>
    <sheet name="Tab.2a" sheetId="73" r:id="rId1"/>
    <sheet name="Tab.3" sheetId="21" r:id="rId2"/>
    <sheet name="Tab.5" sheetId="76" r:id="rId3"/>
  </sheets>
  <definedNames>
    <definedName name="__xlnm.Print_Area_1" localSheetId="0">#REF!</definedName>
    <definedName name="__xlnm.Print_Area_1" localSheetId="1">#REF!</definedName>
    <definedName name="__xlnm.Print_Area_1">#REF!</definedName>
    <definedName name="_xlnm._FilterDatabase" localSheetId="2" hidden="1">Tab.5!$C$2:$C$212</definedName>
    <definedName name="Inwestycje" localSheetId="0">#REF!</definedName>
    <definedName name="Inwestycje">#REF!</definedName>
    <definedName name="_xlnm.Print_Area" localSheetId="0">Tab.2a!$A$2:$K$112</definedName>
    <definedName name="_xlnm.Print_Area" localSheetId="1">Tab.3!$A$2:$D$25</definedName>
    <definedName name="_xlnm.Print_Area" localSheetId="2">Tab.5!$A$2:$F$181</definedName>
    <definedName name="t" localSheetId="0">#REF!</definedName>
    <definedName name="t" localSheetId="1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73" l="1"/>
  <c r="H96" i="73" l="1"/>
  <c r="G71" i="73" l="1"/>
  <c r="G73" i="73" l="1"/>
  <c r="G72" i="73"/>
  <c r="J44" i="73" l="1"/>
  <c r="F89" i="73"/>
  <c r="J50" i="73" l="1"/>
  <c r="F53" i="73"/>
  <c r="F47" i="73"/>
  <c r="J32" i="73"/>
  <c r="J19" i="73" l="1"/>
  <c r="G107" i="73" l="1"/>
  <c r="F106" i="73"/>
  <c r="F107" i="73" s="1"/>
  <c r="H105" i="73"/>
  <c r="G105" i="73"/>
  <c r="F104" i="73"/>
  <c r="F105" i="73" s="1"/>
  <c r="G103" i="73"/>
  <c r="F102" i="73"/>
  <c r="F103" i="73" s="1"/>
  <c r="K101" i="73"/>
  <c r="I101" i="73"/>
  <c r="F100" i="73"/>
  <c r="G99" i="73"/>
  <c r="F99" i="73"/>
  <c r="F98" i="73"/>
  <c r="H101" i="73"/>
  <c r="G101" i="73"/>
  <c r="J95" i="73"/>
  <c r="H95" i="73"/>
  <c r="G95" i="73"/>
  <c r="F93" i="73"/>
  <c r="F91" i="73"/>
  <c r="F95" i="73" s="1"/>
  <c r="I90" i="73"/>
  <c r="H90" i="73"/>
  <c r="G90" i="73"/>
  <c r="F90" i="73"/>
  <c r="H88" i="73"/>
  <c r="G88" i="73"/>
  <c r="G87" i="73"/>
  <c r="F87" i="73" s="1"/>
  <c r="F88" i="73" s="1"/>
  <c r="G86" i="73"/>
  <c r="F86" i="73"/>
  <c r="H83" i="73"/>
  <c r="F82" i="73"/>
  <c r="F80" i="73"/>
  <c r="F79" i="73"/>
  <c r="F78" i="73"/>
  <c r="F77" i="73"/>
  <c r="G76" i="73"/>
  <c r="F76" i="73"/>
  <c r="G75" i="73"/>
  <c r="F75" i="73" s="1"/>
  <c r="H74" i="73"/>
  <c r="F73" i="73"/>
  <c r="F72" i="73"/>
  <c r="G74" i="73"/>
  <c r="G69" i="73"/>
  <c r="F69" i="73" s="1"/>
  <c r="F70" i="73" s="1"/>
  <c r="H68" i="73"/>
  <c r="G68" i="73"/>
  <c r="F68" i="73"/>
  <c r="F67" i="73"/>
  <c r="F65" i="73"/>
  <c r="F64" i="73"/>
  <c r="F63" i="73"/>
  <c r="F62" i="73"/>
  <c r="J61" i="73"/>
  <c r="I61" i="73"/>
  <c r="H61" i="73"/>
  <c r="G61" i="73"/>
  <c r="F61" i="73" s="1"/>
  <c r="F59" i="73"/>
  <c r="F56" i="73"/>
  <c r="F55" i="73"/>
  <c r="G54" i="73"/>
  <c r="F54" i="73"/>
  <c r="G53" i="73"/>
  <c r="F52" i="73"/>
  <c r="G51" i="73"/>
  <c r="F51" i="73" s="1"/>
  <c r="I50" i="73"/>
  <c r="H50" i="73"/>
  <c r="G46" i="73"/>
  <c r="F46" i="73" s="1"/>
  <c r="I44" i="73"/>
  <c r="H44" i="73"/>
  <c r="G41" i="73"/>
  <c r="F41" i="73"/>
  <c r="G40" i="73"/>
  <c r="F40" i="73"/>
  <c r="G39" i="73"/>
  <c r="F39" i="73"/>
  <c r="J38" i="73"/>
  <c r="I38" i="73"/>
  <c r="H38" i="73"/>
  <c r="G38" i="73"/>
  <c r="F38" i="73" s="1"/>
  <c r="F37" i="73"/>
  <c r="F35" i="73"/>
  <c r="F33" i="73"/>
  <c r="I32" i="73"/>
  <c r="H32" i="73"/>
  <c r="G32" i="73"/>
  <c r="F32" i="73" s="1"/>
  <c r="F28" i="73"/>
  <c r="F27" i="73"/>
  <c r="F26" i="73"/>
  <c r="J25" i="73"/>
  <c r="I25" i="73"/>
  <c r="I66" i="73" s="1"/>
  <c r="I108" i="73" s="1"/>
  <c r="H25" i="73"/>
  <c r="G25" i="73"/>
  <c r="F25" i="73" s="1"/>
  <c r="H24" i="73"/>
  <c r="G24" i="73"/>
  <c r="F24" i="73"/>
  <c r="G22" i="73"/>
  <c r="F22" i="73" s="1"/>
  <c r="F21" i="73"/>
  <c r="F20" i="73"/>
  <c r="H19" i="73"/>
  <c r="H66" i="73" s="1"/>
  <c r="G18" i="73"/>
  <c r="F18" i="73"/>
  <c r="F17" i="73"/>
  <c r="F13" i="73"/>
  <c r="J12" i="73"/>
  <c r="G12" i="73"/>
  <c r="F12" i="73" s="1"/>
  <c r="F11" i="73"/>
  <c r="F10" i="73"/>
  <c r="F9" i="73"/>
  <c r="G8" i="73"/>
  <c r="F8" i="73"/>
  <c r="J7" i="73"/>
  <c r="J66" i="73" s="1"/>
  <c r="J108" i="73" s="1"/>
  <c r="G7" i="73"/>
  <c r="F83" i="73" l="1"/>
  <c r="H108" i="73"/>
  <c r="F7" i="73"/>
  <c r="G19" i="73"/>
  <c r="F19" i="73" s="1"/>
  <c r="G83" i="73"/>
  <c r="F96" i="73"/>
  <c r="F101" i="73" s="1"/>
  <c r="G70" i="73"/>
  <c r="G44" i="73"/>
  <c r="F44" i="73" s="1"/>
  <c r="G50" i="73"/>
  <c r="F50" i="73" s="1"/>
  <c r="F71" i="73"/>
  <c r="F74" i="73" s="1"/>
  <c r="F66" i="73" l="1"/>
  <c r="F108" i="73" s="1"/>
  <c r="G66" i="73"/>
  <c r="G108" i="73" s="1"/>
  <c r="D16" i="21" l="1"/>
  <c r="D15" i="21"/>
  <c r="D14" i="21" l="1"/>
  <c r="D20" i="21"/>
  <c r="D22" i="21" l="1"/>
  <c r="D10" i="21"/>
  <c r="D7" i="21"/>
  <c r="D13" i="21" l="1"/>
</calcChain>
</file>

<file path=xl/sharedStrings.xml><?xml version="1.0" encoding="utf-8"?>
<sst xmlns="http://schemas.openxmlformats.org/spreadsheetml/2006/main" count="1036" uniqueCount="414">
  <si>
    <t>Dział</t>
  </si>
  <si>
    <t>Rozdział</t>
  </si>
  <si>
    <t>010</t>
  </si>
  <si>
    <t>Rodziny zastępcze</t>
  </si>
  <si>
    <t>Pozostałe zadania w zakresie polityki społecznej</t>
  </si>
  <si>
    <t>Działalność usługowa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</si>
  <si>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</si>
  <si>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</si>
  <si>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</si>
  <si>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</si>
  <si>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</si>
  <si>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</si>
  <si>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</si>
  <si>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</si>
  <si>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</si>
  <si>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</si>
  <si>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</si>
  <si>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</si>
  <si>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</si>
  <si>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</si>
  <si>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</si>
  <si>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</si>
  <si>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</si>
  <si>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</si>
  <si>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</si>
  <si>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</si>
  <si>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</si>
  <si>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</si>
  <si>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</si>
  <si>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</si>
  <si>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</si>
  <si>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</si>
  <si>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</si>
  <si>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</si>
  <si>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</si>
  <si>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</si>
  <si>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Rodzina</t>
  </si>
  <si>
    <t>Działalność placówek opiekuńczo-wychowawczych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</si>
  <si>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</si>
  <si>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</si>
  <si>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</si>
  <si>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</si>
  <si>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</si>
  <si>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</si>
  <si>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</si>
  <si>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</si>
  <si>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</si>
  <si>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B. Środki i dotacje otrzymane od innych jst oraz innych jednostek zaliczanych do sektora finansów publicznych</t>
  </si>
  <si>
    <t>WPF</t>
  </si>
  <si>
    <t>Razem Rozdział 85111</t>
  </si>
  <si>
    <t>Wniesienie wkładu pieniężnego - zwiększenie udziału w Powiatowym Centrum Zdrowia Sp. z o.o.</t>
  </si>
  <si>
    <t>Razem Rozdział 80120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</si>
  <si>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</si>
  <si>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</si>
  <si>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</si>
  <si>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</si>
  <si>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</si>
  <si>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</si>
  <si>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</si>
  <si>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</si>
  <si>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</si>
  <si>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</si>
  <si>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</si>
  <si>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</si>
  <si>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</si>
  <si>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</si>
  <si>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</si>
  <si>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</si>
  <si>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</si>
  <si>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</si>
  <si>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</si>
  <si>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</si>
  <si>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</si>
  <si>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</si>
  <si>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</si>
  <si>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</si>
  <si>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</si>
  <si>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</si>
  <si>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</si>
  <si>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Przebudowa drogi powiatowej Nr 2724W Karczew - Janów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</si>
  <si>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</si>
  <si>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</si>
  <si>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</si>
  <si>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</si>
  <si>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</si>
  <si>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</si>
  <si>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</si>
  <si>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</si>
  <si>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</si>
  <si>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</si>
  <si>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</si>
  <si>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Wykonanie ZRIDu ciągu pieszo-rowerowego między Izabelą a Zakrętem w ramach poprawy bezpieczeństwa na drodze powiatowej nr 2702W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</si>
  <si>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</si>
  <si>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</si>
  <si>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</si>
  <si>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</si>
  <si>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</si>
  <si>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</si>
  <si>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</si>
  <si>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</si>
  <si>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</si>
  <si>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</si>
  <si>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</si>
  <si>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</si>
  <si>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</si>
  <si>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</si>
  <si>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</si>
  <si>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</si>
  <si>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</si>
  <si>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</si>
  <si>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</si>
  <si>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</si>
  <si>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</si>
  <si>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</si>
  <si>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</si>
  <si>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</si>
  <si>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</si>
  <si>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</si>
  <si>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</si>
  <si>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B. 50 000</t>
  </si>
  <si>
    <t>B. 15 000</t>
  </si>
  <si>
    <t>Wymiana nakładki asfaltobetonowej na rondzie Księdza Jerzego Popiełuszki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</si>
  <si>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</si>
  <si>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</si>
  <si>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</si>
  <si>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</si>
  <si>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</si>
  <si>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</si>
  <si>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</si>
  <si>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20 000</t>
  </si>
  <si>
    <t>Przebudowa drogi powiatowej Nr 2705W - ul. Kąckiej w Wiązownie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</si>
  <si>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</si>
  <si>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</si>
  <si>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</si>
  <si>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</si>
  <si>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</si>
  <si>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</si>
  <si>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</si>
  <si>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</si>
  <si>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</si>
  <si>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</si>
  <si>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</si>
  <si>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</si>
  <si>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</si>
  <si>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</si>
  <si>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</si>
  <si>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</si>
  <si>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</si>
  <si>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</si>
  <si>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</si>
  <si>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</si>
  <si>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</si>
  <si>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</si>
  <si>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</si>
  <si>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</si>
  <si>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</si>
  <si>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</si>
  <si>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</si>
  <si>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</si>
  <si>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</si>
  <si>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</si>
  <si>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</si>
  <si>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</si>
  <si>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</si>
  <si>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</si>
  <si>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</si>
  <si>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</si>
  <si>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</si>
  <si>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</si>
  <si>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</si>
  <si>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</si>
  <si>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</si>
  <si>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Modernizacja drogi powiatowej Nr 2744W w Ponurzycy</t>
  </si>
  <si>
    <t>Dokumentacja projektowa na przebudowę ul. Staszica/Kołłątaja wraz z przebudową skrzyżowania z ul. Świderską</t>
  </si>
  <si>
    <t>Dotacja  na dofinansowanie zakupu psa służbowego dla  potrzeb  Komendy Powiatowej Policji w Otwocku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</si>
  <si>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</si>
  <si>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Doświetlenie przejść dla pieszych na drodze powiatowej Nr 2717W - ul. Obrońców Pokoju w Celestynowie w rejonie centrum handlowego oraz  w Pogorzeli  w drodze                     Nr 2722W  - ul. Witosa</t>
  </si>
  <si>
    <t xml:space="preserve">Wykonanie nakładki asfaltobetonowej w ul. Brzozowej w Pogorzeli </t>
  </si>
  <si>
    <t>Plan wydatków majątkowych na 2020 rok - po zmianach</t>
  </si>
  <si>
    <t>Przychody i rozchody budżetu w 2020 roku - po zmianach</t>
  </si>
  <si>
    <t>Rozbudowa na rondo skrzyżowania dróg powiatowych Nr 2775W ul. Stare Miasto i Nr 2724W ul. Żaboklickiego z drogą gminną ul. Bielińskiego w Karczewie</t>
  </si>
  <si>
    <t>A. 1 924 000</t>
  </si>
  <si>
    <t>B. 474 500              A. 850 694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</si>
  <si>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</si>
  <si>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</si>
  <si>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</si>
  <si>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</si>
  <si>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</si>
  <si>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</si>
  <si>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</si>
  <si>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</si>
  <si>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</si>
  <si>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</si>
  <si>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</si>
  <si>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</si>
  <si>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</si>
  <si>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</si>
  <si>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</si>
  <si>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</si>
  <si>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</si>
  <si>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</si>
  <si>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</si>
  <si>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</si>
  <si>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</si>
  <si>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</si>
  <si>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</si>
  <si>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</si>
  <si>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</si>
  <si>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</si>
  <si>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</si>
  <si>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</si>
  <si>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</si>
  <si>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</si>
  <si>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</si>
  <si>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</si>
  <si>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</si>
  <si>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</si>
  <si>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</si>
  <si>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</si>
  <si>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</si>
  <si>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</si>
  <si>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</si>
  <si>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</si>
  <si>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</si>
  <si>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</si>
  <si>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</si>
  <si>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</si>
  <si>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</si>
  <si>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</si>
  <si>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</si>
  <si>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</si>
  <si>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</si>
  <si>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</si>
  <si>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</si>
  <si>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</si>
  <si>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Zespoły do spraw orzekania o niepełnosprawności</t>
  </si>
  <si>
    <t>855</t>
  </si>
  <si>
    <t>85504</t>
  </si>
  <si>
    <t>Wspieranie rodziny</t>
  </si>
  <si>
    <t>85508</t>
  </si>
  <si>
    <t>Świadczenia społeczne</t>
  </si>
  <si>
    <t>85510</t>
  </si>
  <si>
    <t>Dochody i wydatki związane z realizacją zadań z zakresu administracji rządowej i innych zadań zleconych                                                                jednostce samorządu terytorialnego odrębnymi ustawami na 2020 rok - po zmianach</t>
  </si>
  <si>
    <t>Projekt i budowa chodnika przy drodze powiatowej Nr 1302W na wysokości  Szkoły  Podstawowej w Siedzowie na odcinku od granicy działki szkoły  do wysokości boiska sportowego</t>
  </si>
  <si>
    <t>57.</t>
  </si>
  <si>
    <t>58.</t>
  </si>
  <si>
    <t>Wykonanie projektu ZRID ciągu pieszo - rowerowego w drodze powiatowej              Nr 2709W ul. Mazowiecka w Malcanowie, ul. Armii Krajowej w Lipowie                      od ul. Kotliny w Malcanowie do ul. Wypoczynkowej w Lipowie</t>
  </si>
  <si>
    <t>Regionalne partnerstwo samorządów Mazowsza dla aktywizacji społeczeństwa informacyjnego w zakresie e-administracji i geoinformacji</t>
  </si>
  <si>
    <t>Razem Rozdział 71095</t>
  </si>
  <si>
    <t>59.</t>
  </si>
  <si>
    <t>Dotacja celowa z budżetu na finansowanie lub dofinansowanie zadań zleconych do realizacji pozostałym jednostkom nie zaliczanym do sektora finansów publicznych</t>
  </si>
  <si>
    <t>Dotacja dla Powiatowego Centrum Zdrowia Sp. z o.o.  na modernizację budynku i zakupy inwestycyjne</t>
  </si>
  <si>
    <t>Wniesienie wkładu pieniężnego  do Powiatowego Centrum Zdrowia Sp. z o.o. na zabezpieczenie wkładu własnego do realizowanego przez spółkę programu unijnego</t>
  </si>
  <si>
    <t>Dotacja dla Powiatowego Centrum Zdrowia Sp. z o.o.  na modernizację Oddziału Ginekologiczno - Położniczego</t>
  </si>
  <si>
    <t>60.</t>
  </si>
  <si>
    <t>Pozostała działalność</t>
  </si>
  <si>
    <t>752</t>
  </si>
  <si>
    <t>75295</t>
  </si>
  <si>
    <t>Modernizacja drogi powiatowej Nr 2751W Sobienie Kiełczewski-Zuzanów-Czarnowiec</t>
  </si>
  <si>
    <t>Modernizacja drogi powiatowej Nr 2752W Władysławów-Zambrzyków Stary-Sobienie Kiełczewskie</t>
  </si>
  <si>
    <t>61.</t>
  </si>
  <si>
    <t>62.</t>
  </si>
  <si>
    <t>63.</t>
  </si>
  <si>
    <t>Razem Rozdział 85403</t>
  </si>
  <si>
    <t>Wkład własny na zakup pieca konwekcyjnego - Rządowy Program "Posiłek w szkole i w domu"</t>
  </si>
  <si>
    <t>85395</t>
  </si>
  <si>
    <t>Oświata i wychowanie</t>
  </si>
  <si>
    <t>Uposażenia i świadczenia pieniężne wypłacane przez okres roku żołnierzom i funkcjonariuszom zwolnionym ze służby</t>
  </si>
  <si>
    <t>A. 0</t>
  </si>
  <si>
    <t>B.0</t>
  </si>
  <si>
    <t>Przychody ze sprzedaży innych papierów wartościowych</t>
  </si>
  <si>
    <t>§ 931</t>
  </si>
  <si>
    <t>B. 0</t>
  </si>
  <si>
    <t>64.</t>
  </si>
  <si>
    <t>65.</t>
  </si>
  <si>
    <t>Przygotowanie dokumentacji projektowej przebudowy oraz rozbudowy drogi powiatowej Nr 2703W  – ul. Mickiewicza w Góraszce - ZRID</t>
  </si>
  <si>
    <t>Utwardzenie nawierzchni gruntowej drogi powiatowej Nr 2701W w miejscowości Majdan(na odcinku od S17 do ul. Pięknej) oraz w miejscowości Michałówek(od pętli autobusowej do istniejącego wiaduktu)</t>
  </si>
  <si>
    <t>66.</t>
  </si>
  <si>
    <t>kredyty, pożyczki, obligacje</t>
  </si>
  <si>
    <t>67.</t>
  </si>
  <si>
    <t>801</t>
  </si>
  <si>
    <t>80153</t>
  </si>
  <si>
    <t>Zapewnienie uczniom prawa do bezpłatnego dostępu do podręczników, materiałów edukacyjnych lub materiałów ćwiczeniowych</t>
  </si>
  <si>
    <t>Zakup środków dydaktycznych i książek</t>
  </si>
  <si>
    <t>opracowanie dokumentacji projektowej</t>
  </si>
  <si>
    <t xml:space="preserve">Termomodernizacja  budynku użyteczności  publicznej przy ul. Górnej 13                       w Otwocku </t>
  </si>
  <si>
    <t>Wykonanie projektu ZRID ciągu  pieszo - rowerowego w drodze powiatowej                        Nr 2709W w m. Żanęcin oraz wzdłuż ul. Majowej w m. Dziechciniec od drogi krajowej S17 do posesji Sali weselnej "Raj"</t>
  </si>
  <si>
    <t>Budowa parkingu na pojazdy usunięte z dróg zgodnie z art. 130a ust. 1, 2 i 5c ustawy Prawo o ruchu drogowym</t>
  </si>
  <si>
    <t>68.</t>
  </si>
  <si>
    <t>C. 50 000</t>
  </si>
  <si>
    <t>C. 30 000</t>
  </si>
  <si>
    <t>C. 25 000</t>
  </si>
  <si>
    <t>C. 60 000</t>
  </si>
  <si>
    <t>C. 70 000</t>
  </si>
  <si>
    <t>C. 120 000</t>
  </si>
  <si>
    <t>C. 100 000</t>
  </si>
  <si>
    <t>C. 148 000</t>
  </si>
  <si>
    <t>C. 500 000</t>
  </si>
  <si>
    <t>C. 200 000</t>
  </si>
  <si>
    <t>Budowa chodników w drogach powiatowych na terenie gminy Wiązowna - Majdan   ul. Widoczna</t>
  </si>
  <si>
    <r>
      <t xml:space="preserve">C. Inne źródła  - </t>
    </r>
    <r>
      <rPr>
        <b/>
        <i/>
        <sz val="8"/>
        <rFont val="Arial"/>
        <family val="2"/>
        <charset val="238"/>
      </rPr>
      <t>Fundusz Inwestycji Lokalnych</t>
    </r>
  </si>
  <si>
    <t>A. 850 000</t>
  </si>
  <si>
    <t>C. 75 000</t>
  </si>
  <si>
    <t>C. 84 834</t>
  </si>
  <si>
    <t>C. 0</t>
  </si>
  <si>
    <t>C. 700 000</t>
  </si>
  <si>
    <t>C. 50 000                B.  70 000</t>
  </si>
  <si>
    <t>Modernizacja nawierzchni asfaltowej na odcinku ok. 500 m pomiędzy Malcanowem a Lipowem w drodze Nr 2709W                                                                                  Żanęcin - Glinianka – Bolesławów</t>
  </si>
  <si>
    <t>2830</t>
  </si>
  <si>
    <t/>
  </si>
  <si>
    <t>2110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</si>
  <si>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</si>
  <si>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</si>
  <si>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</si>
  <si>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</si>
  <si>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</si>
  <si>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</si>
  <si>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</si>
  <si>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</si>
  <si>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</si>
  <si>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</si>
  <si>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</si>
  <si>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</si>
  <si>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</si>
  <si>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</si>
  <si>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</si>
  <si>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</si>
  <si>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</si>
  <si>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</si>
  <si>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</si>
  <si>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</si>
  <si>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</si>
  <si>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</si>
  <si>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</si>
  <si>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</si>
  <si>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</si>
  <si>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</si>
  <si>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</si>
  <si>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</si>
  <si>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</si>
  <si>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750</t>
  </si>
  <si>
    <t>75011</t>
  </si>
  <si>
    <t>75045</t>
  </si>
  <si>
    <t>Obrona narodowa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</si>
  <si>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</si>
  <si>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</si>
  <si>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</si>
  <si>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</si>
  <si>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</si>
  <si>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</si>
  <si>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</si>
  <si>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</si>
  <si>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</si>
  <si>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</si>
  <si>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</si>
  <si>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</si>
  <si>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4240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</si>
  <si>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</si>
  <si>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</si>
  <si>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</si>
  <si>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</si>
  <si>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</si>
  <si>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853</t>
  </si>
  <si>
    <t>85321</t>
  </si>
  <si>
    <t>3110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</si>
  <si>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</si>
  <si>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</si>
  <si>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</si>
  <si>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 xml:space="preserve">A. 99 621             B. 40 000              C. 40 000    </t>
  </si>
  <si>
    <t>Dotacja na dofinansowanie zakupu pojazdu oznakowanego typu furgon dla  Komendy Powiatowej Policji w Otwocku</t>
  </si>
  <si>
    <t>Dotacja na dofinansowanie zakupu pojazdu oznakowanego segm. C dla   Komendy Powiatowej Policji w Otwocku</t>
  </si>
  <si>
    <t>Dotacja na dofinansowanie zakupu pojazdu osobowo-terenowego w policyjnej wersji nieoznakowanej dla   Komendy Powiatowej Policji w Otwocku</t>
  </si>
  <si>
    <t>Dotacja na dofinansowanie zakupu alkomatu dla  potrzeb  Komendy Powiatowej Policji w Otwocku</t>
  </si>
  <si>
    <t>69.</t>
  </si>
  <si>
    <t>70.</t>
  </si>
  <si>
    <t>71.</t>
  </si>
  <si>
    <t>72.</t>
  </si>
  <si>
    <t>73.</t>
  </si>
  <si>
    <t>Dotacja na dofinansowanie zakupu pojazdu nieoznakowanego wyposażonego w videorejestrator  dla  Komendy Powiatowej Policji w Otwocku</t>
  </si>
  <si>
    <t>A. 1 585 585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</si>
  <si>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</si>
  <si>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</si>
  <si>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</si>
  <si>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</si>
  <si>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B. 60 000</t>
  </si>
  <si>
    <t>Droga 2709W w powiecie otwockim - bezpieczna droga do szkoły dla dzieci               z gminy Wiązowna</t>
  </si>
  <si>
    <t>Zakup namiotu pneumatycznego dla potrzeb Komendy Powiatowej Państwowej Straży Pożarnej</t>
  </si>
  <si>
    <t>A. 35 000</t>
  </si>
  <si>
    <t>Zakup pralnicy dla potrzeb Komendy Powiatowej Państwowej Straży Pożarnej</t>
  </si>
  <si>
    <t>A. 70 000</t>
  </si>
  <si>
    <t>Razem Rozdział 75411</t>
  </si>
  <si>
    <t>74.</t>
  </si>
  <si>
    <t>75.</t>
  </si>
  <si>
    <t xml:space="preserve">Rozbudowa szatni w Zespole Szkół Nr 1 w Otwocku wraz z przebudową                     części istniejącej </t>
  </si>
  <si>
    <t>Przebudowa ul. Świderskiej w Karczewie polegająca na budowie chodnika na odcinku od ul. Wiślanej do ul. Kościelnej</t>
  </si>
  <si>
    <t>B. 100 000</t>
  </si>
  <si>
    <t>76.</t>
  </si>
  <si>
    <r>
      <t xml:space="preserve">A. Dotacje i środki z budżetu państwa (np. od wojewody, MEN, UKFiS, …) - w tym: </t>
    </r>
    <r>
      <rPr>
        <b/>
        <i/>
        <sz val="8"/>
        <rFont val="Arial"/>
        <family val="2"/>
        <charset val="238"/>
      </rPr>
      <t xml:space="preserve">Fundusz Dróg Samorządowych, </t>
    </r>
  </si>
  <si>
    <t>Modernizacja odwodnienia drogi powiatowej Nr 2766W - ul. 3 Maja przy skrzyżowaniu z ul. Wyszyńskiego w Józefowie</t>
  </si>
  <si>
    <t>C. 131 803</t>
  </si>
  <si>
    <t>Modernizacja odwodnienia drogi powiatowej Nr 2768W - ul. Granicznej na wysokości Nr 46 i w rejonie ul. Lisiej w Józefowie</t>
  </si>
  <si>
    <t>C. 88 197                   B. 100 000</t>
  </si>
  <si>
    <t>Przebudowa głównego wejścia do Powiatowego Centrum Zdrowia Sp. z o.o.               w restrukturyzacji przy ul. Batorego 44 w Otwocku</t>
  </si>
  <si>
    <t xml:space="preserve">B.50 000 </t>
  </si>
  <si>
    <t>77.</t>
  </si>
  <si>
    <t>C. 74 491</t>
  </si>
  <si>
    <t>Doświetlenie przejść  dla pieszych w drogach powiatowych (m.in.                                    w  ul. Kołłątaja na wysokości ul. Zacisznej)</t>
  </si>
  <si>
    <t>Modernizacja drogi powiatowej Nr 2745W w Antoninku</t>
  </si>
  <si>
    <t>C. 45 534</t>
  </si>
  <si>
    <t>C.130 910</t>
  </si>
  <si>
    <t>B. 20 000                 C. 19 065</t>
  </si>
  <si>
    <t>78.</t>
  </si>
  <si>
    <t>Składki na Fundusz Pracy oraz Fundusz Solidarnościowy</t>
  </si>
  <si>
    <t>C. 0                              A. 2 499 564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</si>
</sst>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39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164" fontId="10" fillId="0" borderId="0"/>
    <xf numFmtId="0" fontId="4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6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27" fillId="0" borderId="0"/>
    <xf numFmtId="0" fontId="28" fillId="0" borderId="0"/>
    <xf numFmtId="0" fontId="35" fillId="0" borderId="0"/>
    <xf numFmtId="0" fontId="37" fillId="0" borderId="0"/>
    <xf numFmtId="0" fontId="38" fillId="0" borderId="0"/>
  </cellStyleXfs>
  <cellXfs count="243">
    <xf numFmtId="0" fontId="0" fillId="0" borderId="0" xfId="0" applyAlignment="1"/>
    <xf numFmtId="0" fontId="11" fillId="0" borderId="0" xfId="9" applyFont="1" applyAlignment="1">
      <alignment vertical="center"/>
    </xf>
    <xf numFmtId="0" fontId="7" fillId="0" borderId="0" xfId="9" applyFont="1" applyAlignment="1">
      <alignment vertical="center"/>
    </xf>
    <xf numFmtId="0" fontId="7" fillId="0" borderId="0" xfId="9" applyFont="1" applyAlignment="1">
      <alignment horizontal="right" vertical="top"/>
    </xf>
    <xf numFmtId="0" fontId="9" fillId="4" borderId="4" xfId="9" applyFont="1" applyFill="1" applyBorder="1" applyAlignment="1">
      <alignment horizontal="center" vertical="center"/>
    </xf>
    <xf numFmtId="0" fontId="9" fillId="4" borderId="1" xfId="9" applyFont="1" applyFill="1" applyBorder="1" applyAlignment="1">
      <alignment horizontal="center" vertical="center" wrapText="1"/>
    </xf>
    <xf numFmtId="0" fontId="9" fillId="0" borderId="4" xfId="9" applyFont="1" applyBorder="1" applyAlignment="1">
      <alignment horizontal="center" vertical="center"/>
    </xf>
    <xf numFmtId="0" fontId="9" fillId="0" borderId="4" xfId="9" applyFont="1" applyBorder="1" applyAlignment="1">
      <alignment horizontal="left" vertical="center"/>
    </xf>
    <xf numFmtId="0" fontId="9" fillId="0" borderId="0" xfId="9" applyFont="1" applyAlignment="1">
      <alignment vertical="center"/>
    </xf>
    <xf numFmtId="0" fontId="12" fillId="0" borderId="4" xfId="9" applyFont="1" applyBorder="1" applyAlignment="1">
      <alignment horizontal="center" vertical="center"/>
    </xf>
    <xf numFmtId="0" fontId="12" fillId="0" borderId="4" xfId="9" applyFont="1" applyBorder="1" applyAlignment="1">
      <alignment horizontal="left" vertical="center"/>
    </xf>
    <xf numFmtId="0" fontId="12" fillId="0" borderId="0" xfId="9" applyFont="1" applyAlignment="1">
      <alignment vertical="center"/>
    </xf>
    <xf numFmtId="3" fontId="9" fillId="0" borderId="4" xfId="9" applyNumberFormat="1" applyFont="1" applyBorder="1" applyAlignment="1"/>
    <xf numFmtId="0" fontId="9" fillId="0" borderId="4" xfId="9" applyFont="1" applyBorder="1" applyAlignment="1">
      <alignment vertical="center"/>
    </xf>
    <xf numFmtId="0" fontId="7" fillId="4" borderId="4" xfId="9" applyFont="1" applyFill="1" applyBorder="1" applyAlignment="1">
      <alignment vertical="center"/>
    </xf>
    <xf numFmtId="3" fontId="9" fillId="4" borderId="4" xfId="9" applyNumberFormat="1" applyFont="1" applyFill="1" applyBorder="1" applyAlignment="1"/>
    <xf numFmtId="0" fontId="7" fillId="0" borderId="4" xfId="9" applyFont="1" applyBorder="1" applyAlignment="1">
      <alignment horizontal="center" vertical="center"/>
    </xf>
    <xf numFmtId="0" fontId="7" fillId="0" borderId="1" xfId="9" applyFont="1" applyBorder="1" applyAlignment="1">
      <alignment vertical="center"/>
    </xf>
    <xf numFmtId="3" fontId="7" fillId="0" borderId="4" xfId="9" applyNumberFormat="1" applyFont="1" applyBorder="1" applyAlignment="1"/>
    <xf numFmtId="0" fontId="7" fillId="0" borderId="4" xfId="9" applyFont="1" applyBorder="1" applyAlignment="1">
      <alignment vertical="center"/>
    </xf>
    <xf numFmtId="3" fontId="7" fillId="0" borderId="3" xfId="9" applyNumberFormat="1" applyFont="1" applyBorder="1" applyAlignment="1"/>
    <xf numFmtId="0" fontId="7" fillId="4" borderId="4" xfId="9" applyFont="1" applyFill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vertical="center"/>
    </xf>
    <xf numFmtId="3" fontId="7" fillId="0" borderId="0" xfId="9" applyNumberFormat="1" applyFont="1" applyBorder="1" applyAlignment="1"/>
    <xf numFmtId="0" fontId="13" fillId="0" borderId="0" xfId="9" applyFont="1" applyAlignment="1">
      <alignment vertical="center"/>
    </xf>
    <xf numFmtId="0" fontId="13" fillId="0" borderId="4" xfId="9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 wrapText="1"/>
    </xf>
    <xf numFmtId="0" fontId="7" fillId="0" borderId="6" xfId="9" applyFont="1" applyBorder="1" applyAlignment="1">
      <alignment vertical="center" wrapText="1"/>
    </xf>
    <xf numFmtId="0" fontId="7" fillId="0" borderId="0" xfId="9" applyFont="1" applyFill="1" applyAlignment="1">
      <alignment vertical="center"/>
    </xf>
    <xf numFmtId="0" fontId="7" fillId="0" borderId="0" xfId="7" applyFont="1" applyProtection="1">
      <protection locked="0"/>
    </xf>
    <xf numFmtId="0" fontId="17" fillId="0" borderId="0" xfId="7" applyFont="1" applyProtection="1">
      <protection locked="0"/>
    </xf>
    <xf numFmtId="0" fontId="7" fillId="0" borderId="0" xfId="7" applyFont="1" applyAlignment="1" applyProtection="1">
      <alignment vertical="center"/>
      <protection locked="0"/>
    </xf>
    <xf numFmtId="0" fontId="9" fillId="0" borderId="0" xfId="7" applyFont="1" applyFill="1" applyAlignment="1" applyProtection="1">
      <alignment vertical="center"/>
      <protection locked="0"/>
    </xf>
    <xf numFmtId="0" fontId="18" fillId="0" borderId="0" xfId="7" applyFont="1" applyFill="1" applyAlignment="1" applyProtection="1">
      <alignment vertical="center"/>
      <protection locked="0"/>
    </xf>
    <xf numFmtId="0" fontId="7" fillId="0" borderId="0" xfId="7" applyFont="1" applyProtection="1"/>
    <xf numFmtId="0" fontId="17" fillId="0" borderId="0" xfId="7" applyFont="1" applyProtection="1"/>
    <xf numFmtId="3" fontId="17" fillId="0" borderId="0" xfId="7" applyNumberFormat="1" applyFont="1" applyProtection="1"/>
    <xf numFmtId="0" fontId="18" fillId="0" borderId="0" xfId="7" applyFont="1" applyAlignment="1" applyProtection="1">
      <alignment vertical="center"/>
      <protection locked="0"/>
    </xf>
    <xf numFmtId="0" fontId="9" fillId="6" borderId="0" xfId="7" applyFont="1" applyFill="1" applyBorder="1" applyAlignment="1" applyProtection="1">
      <alignment vertical="center"/>
      <protection locked="0"/>
    </xf>
    <xf numFmtId="0" fontId="7" fillId="6" borderId="0" xfId="7" applyFont="1" applyFill="1" applyAlignment="1" applyProtection="1">
      <alignment vertical="center"/>
      <protection locked="0"/>
    </xf>
    <xf numFmtId="0" fontId="7" fillId="0" borderId="0" xfId="7" applyFont="1" applyFill="1" applyAlignment="1" applyProtection="1">
      <alignment vertical="center"/>
      <protection locked="0"/>
    </xf>
    <xf numFmtId="0" fontId="9" fillId="6" borderId="0" xfId="7" applyFont="1" applyFill="1" applyAlignment="1" applyProtection="1">
      <alignment vertical="center"/>
      <protection locked="0"/>
    </xf>
    <xf numFmtId="0" fontId="19" fillId="0" borderId="0" xfId="7" applyFont="1" applyFill="1" applyAlignment="1" applyProtection="1">
      <alignment vertical="center"/>
      <protection locked="0"/>
    </xf>
    <xf numFmtId="0" fontId="20" fillId="0" borderId="0" xfId="7" applyFont="1" applyFill="1" applyAlignment="1" applyProtection="1">
      <alignment vertical="center"/>
      <protection locked="0"/>
    </xf>
    <xf numFmtId="0" fontId="21" fillId="0" borderId="0" xfId="7" applyFont="1" applyFill="1" applyAlignment="1" applyProtection="1">
      <alignment vertical="center"/>
      <protection locked="0"/>
    </xf>
    <xf numFmtId="0" fontId="21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7" fillId="0" borderId="0" xfId="7" applyFont="1" applyAlignment="1" applyProtection="1">
      <alignment horizontal="center" vertical="center"/>
      <protection locked="0"/>
    </xf>
    <xf numFmtId="0" fontId="7" fillId="0" borderId="0" xfId="7" applyFont="1" applyAlignment="1" applyProtection="1">
      <alignment horizontal="center" vertical="center"/>
    </xf>
    <xf numFmtId="0" fontId="17" fillId="0" borderId="0" xfId="7" applyFont="1" applyAlignment="1" applyProtection="1">
      <alignment horizontal="center" vertical="center"/>
    </xf>
    <xf numFmtId="0" fontId="9" fillId="0" borderId="12" xfId="7" applyFont="1" applyFill="1" applyBorder="1" applyAlignment="1" applyProtection="1">
      <alignment vertical="center" wrapText="1"/>
      <protection locked="0"/>
    </xf>
    <xf numFmtId="0" fontId="7" fillId="0" borderId="13" xfId="7" applyFont="1" applyFill="1" applyBorder="1" applyAlignment="1" applyProtection="1">
      <alignment horizontal="center" vertical="center"/>
    </xf>
    <xf numFmtId="0" fontId="7" fillId="0" borderId="13" xfId="7" applyFont="1" applyFill="1" applyBorder="1" applyAlignment="1" applyProtection="1">
      <alignment horizontal="center" vertical="center" wrapText="1"/>
    </xf>
    <xf numFmtId="0" fontId="7" fillId="0" borderId="13" xfId="16" applyFont="1" applyFill="1" applyBorder="1" applyAlignment="1" applyProtection="1">
      <alignment vertical="center" wrapText="1"/>
    </xf>
    <xf numFmtId="3" fontId="7" fillId="0" borderId="13" xfId="7" applyNumberFormat="1" applyFont="1" applyFill="1" applyBorder="1" applyAlignment="1" applyProtection="1">
      <alignment vertical="center" wrapText="1"/>
    </xf>
    <xf numFmtId="3" fontId="7" fillId="0" borderId="13" xfId="7" applyNumberFormat="1" applyFont="1" applyFill="1" applyBorder="1" applyAlignment="1" applyProtection="1">
      <alignment vertical="center"/>
    </xf>
    <xf numFmtId="0" fontId="7" fillId="0" borderId="13" xfId="7" applyFont="1" applyFill="1" applyBorder="1" applyAlignment="1" applyProtection="1">
      <alignment vertical="center" wrapText="1"/>
    </xf>
    <xf numFmtId="0" fontId="7" fillId="0" borderId="13" xfId="7" applyFont="1" applyFill="1" applyBorder="1" applyAlignment="1" applyProtection="1">
      <alignment horizontal="right" vertical="center" wrapText="1"/>
    </xf>
    <xf numFmtId="0" fontId="17" fillId="0" borderId="13" xfId="7" applyFont="1" applyFill="1" applyBorder="1" applyAlignment="1" applyProtection="1">
      <alignment horizontal="center" vertical="center" wrapText="1"/>
    </xf>
    <xf numFmtId="3" fontId="18" fillId="0" borderId="13" xfId="7" applyNumberFormat="1" applyFont="1" applyFill="1" applyBorder="1" applyAlignment="1" applyProtection="1">
      <alignment vertical="center"/>
    </xf>
    <xf numFmtId="0" fontId="18" fillId="0" borderId="13" xfId="7" applyFont="1" applyFill="1" applyBorder="1" applyAlignment="1" applyProtection="1">
      <alignment vertical="center" wrapText="1"/>
    </xf>
    <xf numFmtId="0" fontId="22" fillId="0" borderId="13" xfId="7" applyFont="1" applyFill="1" applyBorder="1" applyAlignment="1" applyProtection="1">
      <alignment horizontal="center" vertical="center" wrapText="1"/>
    </xf>
    <xf numFmtId="0" fontId="7" fillId="0" borderId="13" xfId="7" applyFont="1" applyFill="1" applyBorder="1" applyAlignment="1" applyProtection="1">
      <alignment horizontal="left" vertical="center" wrapText="1"/>
    </xf>
    <xf numFmtId="3" fontId="9" fillId="2" borderId="13" xfId="7" applyNumberFormat="1" applyFont="1" applyFill="1" applyBorder="1" applyAlignment="1" applyProtection="1">
      <alignment vertical="center" wrapText="1"/>
    </xf>
    <xf numFmtId="0" fontId="9" fillId="2" borderId="13" xfId="7" applyFont="1" applyFill="1" applyBorder="1" applyAlignment="1" applyProtection="1">
      <alignment vertical="center" wrapText="1"/>
    </xf>
    <xf numFmtId="0" fontId="24" fillId="2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vertical="center" wrapText="1"/>
      <protection locked="0"/>
    </xf>
    <xf numFmtId="3" fontId="9" fillId="0" borderId="13" xfId="7" applyNumberFormat="1" applyFont="1" applyFill="1" applyBorder="1" applyAlignment="1" applyProtection="1">
      <alignment vertical="center" wrapText="1"/>
      <protection locked="0"/>
    </xf>
    <xf numFmtId="0" fontId="9" fillId="0" borderId="13" xfId="7" applyFont="1" applyFill="1" applyBorder="1" applyAlignment="1" applyProtection="1">
      <alignment horizontal="center" vertical="center" wrapText="1"/>
      <protection locked="0"/>
    </xf>
    <xf numFmtId="0" fontId="7" fillId="6" borderId="9" xfId="7" applyFont="1" applyFill="1" applyBorder="1" applyAlignment="1" applyProtection="1">
      <alignment horizontal="center" vertical="center" wrapText="1"/>
    </xf>
    <xf numFmtId="3" fontId="7" fillId="6" borderId="13" xfId="7" applyNumberFormat="1" applyFont="1" applyFill="1" applyBorder="1" applyAlignment="1" applyProtection="1">
      <alignment vertical="center"/>
    </xf>
    <xf numFmtId="0" fontId="7" fillId="6" borderId="13" xfId="7" applyFont="1" applyFill="1" applyBorder="1" applyAlignment="1" applyProtection="1">
      <alignment vertical="center" wrapText="1"/>
    </xf>
    <xf numFmtId="0" fontId="7" fillId="6" borderId="13" xfId="7" applyFont="1" applyFill="1" applyBorder="1" applyAlignment="1" applyProtection="1">
      <alignment horizontal="right" vertical="center" wrapText="1"/>
    </xf>
    <xf numFmtId="0" fontId="17" fillId="6" borderId="13" xfId="7" applyFont="1" applyFill="1" applyBorder="1" applyAlignment="1" applyProtection="1">
      <alignment horizontal="center" vertical="center" wrapText="1"/>
    </xf>
    <xf numFmtId="0" fontId="7" fillId="6" borderId="7" xfId="16" applyFont="1" applyFill="1" applyBorder="1" applyAlignment="1" applyProtection="1">
      <alignment vertical="center" wrapText="1"/>
    </xf>
    <xf numFmtId="3" fontId="7" fillId="6" borderId="15" xfId="7" applyNumberFormat="1" applyFont="1" applyFill="1" applyBorder="1" applyAlignment="1" applyProtection="1">
      <alignment vertical="center" wrapText="1"/>
    </xf>
    <xf numFmtId="0" fontId="7" fillId="6" borderId="13" xfId="7" applyFont="1" applyFill="1" applyBorder="1" applyAlignment="1" applyProtection="1">
      <alignment horizontal="center" vertical="center" wrapText="1"/>
    </xf>
    <xf numFmtId="0" fontId="7" fillId="6" borderId="13" xfId="16" applyFont="1" applyFill="1" applyBorder="1" applyAlignment="1" applyProtection="1">
      <alignment vertical="center" wrapText="1"/>
    </xf>
    <xf numFmtId="3" fontId="7" fillId="6" borderId="13" xfId="7" applyNumberFormat="1" applyFont="1" applyFill="1" applyBorder="1" applyAlignment="1" applyProtection="1">
      <alignment vertical="center" wrapText="1"/>
    </xf>
    <xf numFmtId="0" fontId="18" fillId="6" borderId="13" xfId="7" applyFont="1" applyFill="1" applyBorder="1" applyAlignment="1" applyProtection="1">
      <alignment vertical="center" wrapText="1"/>
    </xf>
    <xf numFmtId="0" fontId="18" fillId="6" borderId="13" xfId="7" applyFont="1" applyFill="1" applyBorder="1" applyAlignment="1" applyProtection="1">
      <alignment horizontal="right" vertical="center" wrapText="1"/>
    </xf>
    <xf numFmtId="0" fontId="22" fillId="6" borderId="13" xfId="7" applyFont="1" applyFill="1" applyBorder="1" applyAlignment="1" applyProtection="1">
      <alignment horizontal="center" vertical="center" wrapText="1"/>
    </xf>
    <xf numFmtId="0" fontId="7" fillId="6" borderId="13" xfId="7" applyFont="1" applyFill="1" applyBorder="1" applyAlignment="1" applyProtection="1">
      <alignment horizontal="center" vertical="center"/>
    </xf>
    <xf numFmtId="0" fontId="7" fillId="6" borderId="13" xfId="7" applyFont="1" applyFill="1" applyBorder="1" applyAlignment="1" applyProtection="1">
      <alignment horizontal="left" vertical="center" wrapText="1"/>
    </xf>
    <xf numFmtId="3" fontId="18" fillId="6" borderId="13" xfId="7" applyNumberFormat="1" applyFont="1" applyFill="1" applyBorder="1" applyAlignment="1" applyProtection="1">
      <alignment vertical="center" wrapText="1"/>
    </xf>
    <xf numFmtId="0" fontId="7" fillId="6" borderId="9" xfId="7" applyFont="1" applyFill="1" applyBorder="1" applyAlignment="1" applyProtection="1">
      <alignment horizontal="center" vertical="center"/>
    </xf>
    <xf numFmtId="0" fontId="7" fillId="6" borderId="7" xfId="7" applyFont="1" applyFill="1" applyBorder="1" applyAlignment="1" applyProtection="1">
      <alignment horizontal="center" vertical="center"/>
    </xf>
    <xf numFmtId="0" fontId="17" fillId="0" borderId="0" xfId="9" applyFont="1" applyProtection="1"/>
    <xf numFmtId="0" fontId="9" fillId="7" borderId="24" xfId="7" applyFont="1" applyFill="1" applyBorder="1" applyAlignment="1" applyProtection="1">
      <alignment horizontal="center" vertical="center" wrapText="1"/>
      <protection locked="0"/>
    </xf>
    <xf numFmtId="0" fontId="9" fillId="0" borderId="4" xfId="9" applyFont="1" applyFill="1" applyBorder="1" applyAlignment="1">
      <alignment horizontal="center" vertical="center"/>
    </xf>
    <xf numFmtId="3" fontId="9" fillId="0" borderId="4" xfId="9" applyNumberFormat="1" applyFont="1" applyFill="1" applyBorder="1" applyAlignment="1"/>
    <xf numFmtId="3" fontId="9" fillId="8" borderId="13" xfId="7" applyNumberFormat="1" applyFont="1" applyFill="1" applyBorder="1" applyAlignment="1" applyProtection="1">
      <alignment vertical="center" wrapText="1"/>
    </xf>
    <xf numFmtId="3" fontId="9" fillId="8" borderId="13" xfId="7" applyNumberFormat="1" applyFont="1" applyFill="1" applyBorder="1" applyAlignment="1" applyProtection="1">
      <alignment vertical="center"/>
    </xf>
    <xf numFmtId="0" fontId="9" fillId="8" borderId="13" xfId="7" applyFont="1" applyFill="1" applyBorder="1" applyAlignment="1" applyProtection="1">
      <alignment vertical="center" wrapText="1"/>
    </xf>
    <xf numFmtId="3" fontId="9" fillId="8" borderId="13" xfId="7" applyNumberFormat="1" applyFont="1" applyFill="1" applyBorder="1" applyAlignment="1" applyProtection="1">
      <alignment horizontal="right" vertical="center" wrapText="1"/>
    </xf>
    <xf numFmtId="0" fontId="24" fillId="8" borderId="13" xfId="7" applyFont="1" applyFill="1" applyBorder="1" applyAlignment="1" applyProtection="1">
      <alignment horizontal="center" vertical="center" wrapText="1"/>
    </xf>
    <xf numFmtId="0" fontId="25" fillId="8" borderId="13" xfId="7" applyFont="1" applyFill="1" applyBorder="1" applyAlignment="1" applyProtection="1">
      <alignment horizontal="center" vertical="center" wrapText="1"/>
      <protection locked="0"/>
    </xf>
    <xf numFmtId="0" fontId="9" fillId="7" borderId="13" xfId="7" applyFont="1" applyFill="1" applyBorder="1" applyAlignment="1" applyProtection="1">
      <alignment horizontal="center" vertical="center" wrapText="1"/>
      <protection locked="0"/>
    </xf>
    <xf numFmtId="0" fontId="21" fillId="8" borderId="13" xfId="7" applyFont="1" applyFill="1" applyBorder="1" applyAlignment="1" applyProtection="1">
      <alignment vertical="center" wrapText="1"/>
    </xf>
    <xf numFmtId="41" fontId="9" fillId="8" borderId="13" xfId="7" applyNumberFormat="1" applyFont="1" applyFill="1" applyBorder="1" applyAlignment="1" applyProtection="1">
      <alignment horizontal="right" vertical="center" wrapText="1"/>
    </xf>
    <xf numFmtId="0" fontId="23" fillId="8" borderId="13" xfId="7" applyFont="1" applyFill="1" applyBorder="1" applyAlignment="1" applyProtection="1">
      <alignment horizontal="center" vertical="center" wrapText="1"/>
    </xf>
    <xf numFmtId="0" fontId="21" fillId="8" borderId="13" xfId="7" applyFont="1" applyFill="1" applyBorder="1" applyAlignment="1" applyProtection="1">
      <alignment horizontal="center" vertical="center" wrapText="1"/>
      <protection locked="0"/>
    </xf>
    <xf numFmtId="0" fontId="18" fillId="0" borderId="13" xfId="7" applyFont="1" applyFill="1" applyBorder="1" applyAlignment="1" applyProtection="1">
      <alignment horizontal="right" vertical="center" wrapText="1"/>
    </xf>
    <xf numFmtId="0" fontId="7" fillId="0" borderId="13" xfId="16" applyFont="1" applyFill="1" applyBorder="1" applyAlignment="1" applyProtection="1">
      <alignment horizontal="left" vertical="center" wrapText="1"/>
    </xf>
    <xf numFmtId="3" fontId="7" fillId="6" borderId="13" xfId="7" applyNumberFormat="1" applyFont="1" applyFill="1" applyBorder="1" applyAlignment="1" applyProtection="1">
      <alignment horizontal="center" vertical="center"/>
    </xf>
    <xf numFmtId="0" fontId="7" fillId="6" borderId="13" xfId="7" applyNumberFormat="1" applyFont="1" applyFill="1" applyBorder="1" applyAlignment="1" applyProtection="1">
      <alignment horizontal="center" vertical="center"/>
    </xf>
    <xf numFmtId="41" fontId="24" fillId="8" borderId="13" xfId="7" applyNumberFormat="1" applyFont="1" applyFill="1" applyBorder="1" applyAlignment="1" applyProtection="1">
      <alignment horizontal="right" vertical="center" wrapText="1"/>
    </xf>
    <xf numFmtId="0" fontId="22" fillId="8" borderId="13" xfId="7" applyFont="1" applyFill="1" applyBorder="1" applyAlignment="1" applyProtection="1">
      <alignment horizontal="center" vertical="center" wrapText="1"/>
    </xf>
    <xf numFmtId="0" fontId="9" fillId="8" borderId="13" xfId="7" applyFont="1" applyFill="1" applyBorder="1" applyAlignment="1" applyProtection="1">
      <alignment horizontal="center" vertical="center" wrapText="1"/>
      <protection locked="0"/>
    </xf>
    <xf numFmtId="3" fontId="7" fillId="0" borderId="13" xfId="7" applyNumberFormat="1" applyFont="1" applyBorder="1" applyAlignment="1" applyProtection="1">
      <alignment vertical="center" wrapText="1"/>
    </xf>
    <xf numFmtId="0" fontId="26" fillId="0" borderId="13" xfId="16" applyFont="1" applyFill="1" applyBorder="1" applyAlignment="1" applyProtection="1">
      <alignment vertical="center" wrapText="1"/>
    </xf>
    <xf numFmtId="0" fontId="19" fillId="0" borderId="13" xfId="7" applyFont="1" applyFill="1" applyBorder="1" applyAlignment="1" applyProtection="1">
      <alignment horizontal="center" vertical="center" wrapText="1"/>
      <protection locked="0"/>
    </xf>
    <xf numFmtId="0" fontId="7" fillId="0" borderId="13" xfId="7" applyFont="1" applyBorder="1" applyAlignment="1" applyProtection="1">
      <alignment horizontal="center" vertical="center" wrapText="1"/>
    </xf>
    <xf numFmtId="0" fontId="7" fillId="0" borderId="13" xfId="7" applyFont="1" applyBorder="1" applyAlignment="1" applyProtection="1">
      <alignment horizontal="left" vertical="center" wrapText="1"/>
    </xf>
    <xf numFmtId="3" fontId="18" fillId="0" borderId="13" xfId="7" applyNumberFormat="1" applyFont="1" applyBorder="1" applyAlignment="1" applyProtection="1">
      <alignment vertical="center" wrapText="1"/>
    </xf>
    <xf numFmtId="0" fontId="18" fillId="0" borderId="13" xfId="7" applyFont="1" applyBorder="1" applyAlignment="1" applyProtection="1">
      <alignment vertical="center" wrapText="1"/>
    </xf>
    <xf numFmtId="0" fontId="22" fillId="0" borderId="13" xfId="7" applyFont="1" applyBorder="1" applyAlignment="1" applyProtection="1">
      <alignment horizontal="center" vertical="center" wrapText="1"/>
    </xf>
    <xf numFmtId="0" fontId="21" fillId="0" borderId="13" xfId="7" applyFont="1" applyFill="1" applyBorder="1" applyAlignment="1" applyProtection="1">
      <alignment horizontal="center" vertical="center" wrapText="1"/>
      <protection locked="0"/>
    </xf>
    <xf numFmtId="0" fontId="9" fillId="0" borderId="13" xfId="7" applyFont="1" applyFill="1" applyBorder="1" applyAlignment="1" applyProtection="1">
      <alignment vertical="center" wrapText="1"/>
      <protection locked="0"/>
    </xf>
    <xf numFmtId="0" fontId="9" fillId="7" borderId="14" xfId="7" applyFont="1" applyFill="1" applyBorder="1" applyAlignment="1" applyProtection="1">
      <alignment horizontal="center" vertical="center" wrapText="1"/>
      <protection locked="0"/>
    </xf>
    <xf numFmtId="0" fontId="9" fillId="2" borderId="14" xfId="7" applyFont="1" applyFill="1" applyBorder="1" applyAlignment="1" applyProtection="1">
      <alignment vertical="center" wrapText="1"/>
      <protection locked="0"/>
    </xf>
    <xf numFmtId="0" fontId="26" fillId="0" borderId="13" xfId="7" applyFont="1" applyFill="1" applyBorder="1" applyAlignment="1" applyProtection="1">
      <alignment horizontal="center" vertical="center"/>
    </xf>
    <xf numFmtId="3" fontId="7" fillId="10" borderId="13" xfId="7" applyNumberFormat="1" applyFont="1" applyFill="1" applyBorder="1" applyAlignment="1" applyProtection="1">
      <alignment vertical="center" wrapText="1"/>
    </xf>
    <xf numFmtId="3" fontId="9" fillId="11" borderId="13" xfId="7" applyNumberFormat="1" applyFont="1" applyFill="1" applyBorder="1" applyAlignment="1" applyProtection="1">
      <alignment vertical="center" wrapText="1"/>
    </xf>
    <xf numFmtId="3" fontId="24" fillId="11" borderId="13" xfId="7" applyNumberFormat="1" applyFont="1" applyFill="1" applyBorder="1" applyAlignment="1" applyProtection="1">
      <alignment horizontal="center" vertical="center" wrapText="1"/>
    </xf>
    <xf numFmtId="49" fontId="30" fillId="13" borderId="2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9" applyNumberFormat="1" applyFont="1" applyAlignment="1">
      <alignment vertical="center"/>
    </xf>
    <xf numFmtId="1" fontId="9" fillId="8" borderId="13" xfId="7" applyNumberFormat="1" applyFont="1" applyFill="1" applyBorder="1" applyAlignment="1" applyProtection="1">
      <alignment horizontal="right" vertical="center" wrapText="1"/>
    </xf>
    <xf numFmtId="3" fontId="7" fillId="0" borderId="0" xfId="7" applyNumberFormat="1" applyFont="1" applyProtection="1">
      <protection locked="0"/>
    </xf>
    <xf numFmtId="0" fontId="18" fillId="0" borderId="0" xfId="7" applyFont="1" applyFill="1" applyBorder="1" applyAlignment="1" applyProtection="1">
      <alignment vertical="center"/>
      <protection locked="0"/>
    </xf>
    <xf numFmtId="3" fontId="7" fillId="0" borderId="0" xfId="7" applyNumberFormat="1" applyFont="1" applyProtection="1"/>
    <xf numFmtId="0" fontId="7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vertical="center" wrapText="1"/>
    </xf>
    <xf numFmtId="49" fontId="7" fillId="13" borderId="25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3" xfId="7" applyFont="1" applyFill="1" applyBorder="1" applyAlignment="1" applyProtection="1">
      <alignment horizontal="right" vertical="center" wrapText="1"/>
    </xf>
    <xf numFmtId="0" fontId="24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24" fillId="0" borderId="0" xfId="7" applyFont="1" applyFill="1" applyProtection="1">
      <protection locked="0"/>
    </xf>
    <xf numFmtId="0" fontId="7" fillId="0" borderId="9" xfId="7" applyFont="1" applyFill="1" applyBorder="1" applyAlignment="1" applyProtection="1">
      <alignment horizontal="center" vertical="center"/>
    </xf>
    <xf numFmtId="0" fontId="7" fillId="0" borderId="9" xfId="7" applyFont="1" applyFill="1" applyBorder="1" applyAlignment="1" applyProtection="1">
      <alignment horizontal="center" vertical="center" wrapText="1"/>
    </xf>
    <xf numFmtId="0" fontId="7" fillId="0" borderId="9" xfId="16" applyFont="1" applyFill="1" applyBorder="1" applyAlignment="1" applyProtection="1">
      <alignment vertical="center" wrapText="1"/>
    </xf>
    <xf numFmtId="3" fontId="7" fillId="0" borderId="13" xfId="7" applyNumberFormat="1" applyFont="1" applyFill="1" applyBorder="1" applyAlignment="1" applyProtection="1">
      <alignment horizontal="center" vertical="center"/>
    </xf>
    <xf numFmtId="0" fontId="7" fillId="0" borderId="13" xfId="7" applyNumberFormat="1" applyFont="1" applyFill="1" applyBorder="1" applyAlignment="1" applyProtection="1">
      <alignment horizontal="center" vertical="center"/>
    </xf>
    <xf numFmtId="0" fontId="7" fillId="0" borderId="13" xfId="16" applyFont="1" applyFill="1" applyBorder="1" applyAlignment="1">
      <alignment vertical="center" wrapText="1"/>
    </xf>
    <xf numFmtId="0" fontId="7" fillId="6" borderId="13" xfId="16" applyFont="1" applyFill="1" applyBorder="1" applyAlignment="1">
      <alignment vertical="center" wrapText="1"/>
    </xf>
    <xf numFmtId="0" fontId="7" fillId="0" borderId="1" xfId="7" applyFont="1" applyFill="1" applyBorder="1" applyAlignment="1">
      <alignment vertical="center" wrapText="1"/>
    </xf>
    <xf numFmtId="0" fontId="29" fillId="0" borderId="13" xfId="16" applyFont="1" applyFill="1" applyBorder="1" applyAlignment="1">
      <alignment horizontal="justify" vertical="center"/>
    </xf>
    <xf numFmtId="0" fontId="30" fillId="0" borderId="0" xfId="16" applyFont="1" applyFill="1" applyAlignment="1">
      <alignment vertical="center" wrapText="1"/>
    </xf>
    <xf numFmtId="0" fontId="26" fillId="0" borderId="13" xfId="7" applyFont="1" applyFill="1" applyBorder="1" applyAlignment="1" applyProtection="1">
      <alignment horizontal="center" vertical="center" wrapText="1"/>
    </xf>
    <xf numFmtId="0" fontId="26" fillId="0" borderId="13" xfId="7" applyFont="1" applyFill="1" applyBorder="1" applyAlignment="1" applyProtection="1">
      <alignment horizontal="left" vertical="center" wrapText="1"/>
    </xf>
    <xf numFmtId="3" fontId="26" fillId="0" borderId="13" xfId="7" applyNumberFormat="1" applyFont="1" applyFill="1" applyBorder="1" applyAlignment="1" applyProtection="1">
      <alignment vertical="center" wrapText="1"/>
    </xf>
    <xf numFmtId="3" fontId="26" fillId="0" borderId="13" xfId="7" applyNumberFormat="1" applyFont="1" applyFill="1" applyBorder="1" applyAlignment="1" applyProtection="1">
      <alignment vertical="center"/>
    </xf>
    <xf numFmtId="0" fontId="26" fillId="0" borderId="13" xfId="7" applyFont="1" applyFill="1" applyBorder="1" applyAlignment="1" applyProtection="1">
      <alignment vertical="center" wrapText="1"/>
    </xf>
    <xf numFmtId="0" fontId="34" fillId="0" borderId="13" xfId="7" applyFont="1" applyFill="1" applyBorder="1" applyAlignment="1" applyProtection="1">
      <alignment horizontal="center" vertical="center" wrapText="1"/>
    </xf>
    <xf numFmtId="0" fontId="7" fillId="0" borderId="13" xfId="7" applyFont="1" applyFill="1" applyBorder="1" applyAlignment="1">
      <alignment vertical="center" wrapText="1"/>
    </xf>
    <xf numFmtId="4" fontId="9" fillId="0" borderId="4" xfId="9" applyNumberFormat="1" applyFont="1" applyBorder="1" applyAlignment="1">
      <alignment horizontal="right"/>
    </xf>
    <xf numFmtId="4" fontId="12" fillId="0" borderId="4" xfId="9" applyNumberFormat="1" applyFont="1" applyFill="1" applyBorder="1" applyAlignment="1">
      <alignment horizontal="right"/>
    </xf>
    <xf numFmtId="4" fontId="12" fillId="0" borderId="4" xfId="9" applyNumberFormat="1" applyFont="1" applyBorder="1" applyAlignment="1">
      <alignment horizontal="right"/>
    </xf>
    <xf numFmtId="4" fontId="9" fillId="0" borderId="4" xfId="9" applyNumberFormat="1" applyFont="1" applyBorder="1" applyAlignment="1"/>
    <xf numFmtId="4" fontId="12" fillId="0" borderId="4" xfId="9" applyNumberFormat="1" applyFont="1" applyFill="1" applyBorder="1" applyAlignment="1"/>
    <xf numFmtId="4" fontId="12" fillId="0" borderId="4" xfId="9" applyNumberFormat="1" applyFont="1" applyBorder="1" applyAlignment="1"/>
    <xf numFmtId="3" fontId="7" fillId="0" borderId="0" xfId="7" applyNumberFormat="1" applyFont="1" applyFill="1" applyAlignment="1" applyProtection="1">
      <alignment vertical="center"/>
      <protection locked="0"/>
    </xf>
    <xf numFmtId="3" fontId="21" fillId="0" borderId="0" xfId="7" applyNumberFormat="1" applyFont="1" applyFill="1" applyAlignment="1" applyProtection="1">
      <alignment vertical="center"/>
      <protection locked="0"/>
    </xf>
    <xf numFmtId="3" fontId="9" fillId="6" borderId="0" xfId="7" applyNumberFormat="1" applyFont="1" applyFill="1" applyAlignment="1" applyProtection="1">
      <alignment vertical="center"/>
      <protection locked="0"/>
    </xf>
    <xf numFmtId="4" fontId="7" fillId="0" borderId="0" xfId="7" applyNumberFormat="1" applyFont="1" applyFill="1" applyAlignment="1" applyProtection="1">
      <alignment vertical="center"/>
      <protection locked="0"/>
    </xf>
    <xf numFmtId="0" fontId="19" fillId="15" borderId="13" xfId="7" applyFont="1" applyFill="1" applyBorder="1" applyAlignment="1" applyProtection="1">
      <alignment horizontal="center" vertical="center" wrapText="1"/>
    </xf>
    <xf numFmtId="0" fontId="19" fillId="15" borderId="13" xfId="7" applyFont="1" applyFill="1" applyBorder="1" applyAlignment="1" applyProtection="1">
      <alignment vertical="center" wrapText="1"/>
    </xf>
    <xf numFmtId="3" fontId="19" fillId="15" borderId="13" xfId="7" applyNumberFormat="1" applyFont="1" applyFill="1" applyBorder="1" applyAlignment="1" applyProtection="1">
      <alignment vertical="center" wrapText="1"/>
    </xf>
    <xf numFmtId="0" fontId="31" fillId="15" borderId="13" xfId="7" applyFont="1" applyFill="1" applyBorder="1" applyAlignment="1" applyProtection="1">
      <alignment horizontal="center" vertical="center" wrapText="1"/>
    </xf>
    <xf numFmtId="3" fontId="9" fillId="0" borderId="0" xfId="7" applyNumberFormat="1" applyFont="1" applyFill="1" applyAlignment="1" applyProtection="1">
      <alignment vertical="center"/>
      <protection locked="0"/>
    </xf>
    <xf numFmtId="0" fontId="33" fillId="12" borderId="4" xfId="19" applyFont="1" applyFill="1" applyBorder="1" applyAlignment="1">
      <alignment horizontal="center" vertical="center" wrapText="1"/>
    </xf>
    <xf numFmtId="0" fontId="9" fillId="9" borderId="8" xfId="7" applyFont="1" applyFill="1" applyBorder="1" applyAlignment="1" applyProtection="1">
      <alignment horizontal="center" vertical="center" wrapText="1"/>
    </xf>
    <xf numFmtId="3" fontId="17" fillId="0" borderId="0" xfId="7" applyNumberFormat="1" applyFont="1" applyAlignment="1" applyProtection="1">
      <alignment horizontal="center" vertical="center"/>
    </xf>
    <xf numFmtId="0" fontId="7" fillId="0" borderId="7" xfId="7" applyFont="1" applyFill="1" applyBorder="1" applyAlignment="1" applyProtection="1">
      <alignment horizontal="center" vertical="center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21" xfId="7" applyFont="1" applyFill="1" applyBorder="1" applyAlignment="1" applyProtection="1">
      <alignment horizontal="center" vertical="center" wrapText="1"/>
    </xf>
    <xf numFmtId="0" fontId="7" fillId="0" borderId="22" xfId="7" applyFont="1" applyFill="1" applyBorder="1" applyAlignment="1" applyProtection="1">
      <alignment horizontal="center" vertical="center" wrapText="1"/>
    </xf>
    <xf numFmtId="0" fontId="7" fillId="0" borderId="7" xfId="16" applyFont="1" applyFill="1" applyBorder="1" applyAlignment="1" applyProtection="1">
      <alignment vertical="center" wrapText="1"/>
    </xf>
    <xf numFmtId="3" fontId="7" fillId="0" borderId="15" xfId="7" applyNumberFormat="1" applyFont="1" applyFill="1" applyBorder="1" applyAlignment="1" applyProtection="1">
      <alignment vertical="center" wrapText="1"/>
    </xf>
    <xf numFmtId="3" fontId="7" fillId="0" borderId="13" xfId="7" applyNumberFormat="1" applyFont="1" applyFill="1" applyBorder="1" applyAlignment="1" applyProtection="1">
      <alignment horizontal="right" vertical="center" wrapText="1"/>
    </xf>
    <xf numFmtId="0" fontId="7" fillId="0" borderId="0" xfId="16" applyFont="1" applyFill="1" applyAlignment="1">
      <alignment horizontal="left" vertical="center" wrapText="1"/>
    </xf>
    <xf numFmtId="0" fontId="26" fillId="0" borderId="0" xfId="22" applyFont="1" applyFill="1" applyAlignment="1">
      <alignment horizontal="left" vertical="center" wrapText="1"/>
    </xf>
    <xf numFmtId="0" fontId="26" fillId="0" borderId="0" xfId="22" applyFont="1" applyFill="1" applyAlignment="1">
      <alignment vertical="center" wrapText="1"/>
    </xf>
    <xf numFmtId="2" fontId="29" fillId="0" borderId="0" xfId="16" applyNumberFormat="1" applyFont="1" applyFill="1" applyAlignment="1">
      <alignment vertical="center" wrapText="1"/>
    </xf>
    <xf numFmtId="0" fontId="36" fillId="14" borderId="0" xfId="19" applyFont="1" applyFill="1" applyAlignment="1">
      <alignment horizontal="left" vertical="top" wrapText="1"/>
    </xf>
    <xf numFmtId="0" fontId="9" fillId="0" borderId="0" xfId="7" applyFont="1" applyFill="1" applyAlignment="1" applyProtection="1">
      <alignment horizontal="center"/>
      <protection locked="0"/>
    </xf>
    <xf numFmtId="0" fontId="9" fillId="6" borderId="13" xfId="7" applyFont="1" applyFill="1" applyBorder="1" applyAlignment="1" applyProtection="1">
      <alignment horizontal="center" vertical="center" wrapText="1"/>
      <protection locked="0"/>
    </xf>
    <xf numFmtId="0" fontId="19" fillId="8" borderId="13" xfId="7" applyFont="1" applyFill="1" applyBorder="1" applyAlignment="1" applyProtection="1">
      <alignment horizontal="center" vertical="center" wrapText="1"/>
      <protection locked="0"/>
    </xf>
    <xf numFmtId="0" fontId="21" fillId="0" borderId="9" xfId="7" applyFont="1" applyFill="1" applyBorder="1" applyAlignment="1" applyProtection="1">
      <alignment horizontal="center" vertical="center" wrapText="1"/>
      <protection locked="0"/>
    </xf>
    <xf numFmtId="0" fontId="21" fillId="0" borderId="23" xfId="7" applyFont="1" applyFill="1" applyBorder="1" applyAlignment="1" applyProtection="1">
      <alignment horizontal="center" vertical="center" wrapText="1"/>
      <protection locked="0"/>
    </xf>
    <xf numFmtId="0" fontId="9" fillId="0" borderId="14" xfId="7" applyFont="1" applyFill="1" applyBorder="1" applyAlignment="1" applyProtection="1">
      <alignment horizontal="center" vertical="center" wrapText="1"/>
      <protection locked="0"/>
    </xf>
    <xf numFmtId="0" fontId="21" fillId="0" borderId="14" xfId="7" applyFont="1" applyFill="1" applyBorder="1" applyAlignment="1" applyProtection="1">
      <alignment vertical="center" wrapText="1"/>
      <protection locked="0"/>
    </xf>
    <xf numFmtId="0" fontId="9" fillId="0" borderId="0" xfId="7" applyFont="1" applyFill="1" applyProtection="1">
      <protection locked="0"/>
    </xf>
    <xf numFmtId="166" fontId="36" fillId="14" borderId="0" xfId="19" applyNumberFormat="1" applyFont="1" applyFill="1" applyAlignment="1">
      <alignment horizontal="left" vertical="top" wrapText="1"/>
    </xf>
    <xf numFmtId="0" fontId="7" fillId="0" borderId="14" xfId="7" applyFont="1" applyFill="1" applyBorder="1" applyAlignment="1" applyProtection="1">
      <alignment vertical="center" wrapText="1"/>
      <protection locked="0"/>
    </xf>
    <xf numFmtId="0" fontId="7" fillId="0" borderId="13" xfId="7" applyFont="1" applyFill="1" applyBorder="1" applyAlignment="1" applyProtection="1">
      <alignment vertical="center" wrapText="1"/>
      <protection locked="0"/>
    </xf>
    <xf numFmtId="4" fontId="12" fillId="0" borderId="0" xfId="9" applyNumberFormat="1" applyFont="1" applyAlignment="1">
      <alignment vertical="center"/>
    </xf>
    <xf numFmtId="0" fontId="19" fillId="0" borderId="14" xfId="7" applyFont="1" applyFill="1" applyBorder="1" applyAlignment="1" applyProtection="1">
      <alignment vertical="center" wrapText="1"/>
      <protection locked="0"/>
    </xf>
    <xf numFmtId="0" fontId="19" fillId="15" borderId="13" xfId="7" applyFont="1" applyFill="1" applyBorder="1" applyAlignment="1" applyProtection="1">
      <alignment horizontal="center" vertical="center"/>
    </xf>
    <xf numFmtId="0" fontId="7" fillId="0" borderId="14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13" xfId="7" applyFont="1" applyFill="1" applyBorder="1" applyAlignment="1" applyProtection="1">
      <alignment horizontal="center" vertical="center" wrapText="1"/>
      <protection locked="0"/>
    </xf>
    <xf numFmtId="0" fontId="26" fillId="0" borderId="0" xfId="16" applyFont="1" applyFill="1" applyAlignment="1">
      <alignment horizontal="left" vertical="center" wrapText="1"/>
    </xf>
    <xf numFmtId="0" fontId="33" fillId="5" borderId="26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left" vertical="center" wrapText="1"/>
    </xf>
    <xf numFmtId="166" fontId="33" fillId="5" borderId="26" xfId="0" applyNumberFormat="1" applyFont="1" applyFill="1" applyBorder="1" applyAlignment="1">
      <alignment horizontal="right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left" vertical="center" wrapText="1"/>
    </xf>
    <xf numFmtId="166" fontId="32" fillId="3" borderId="26" xfId="0" applyNumberFormat="1" applyFont="1" applyFill="1" applyBorder="1" applyAlignment="1">
      <alignment horizontal="right" vertical="center" wrapText="1"/>
    </xf>
    <xf numFmtId="0" fontId="32" fillId="14" borderId="26" xfId="0" applyFont="1" applyFill="1" applyBorder="1" applyAlignment="1">
      <alignment horizontal="center" vertical="center" wrapText="1"/>
    </xf>
    <xf numFmtId="0" fontId="32" fillId="14" borderId="26" xfId="0" applyFont="1" applyFill="1" applyBorder="1" applyAlignment="1">
      <alignment horizontal="left" vertical="center" wrapText="1"/>
    </xf>
    <xf numFmtId="166" fontId="32" fillId="14" borderId="26" xfId="0" applyNumberFormat="1" applyFont="1" applyFill="1" applyBorder="1" applyAlignment="1">
      <alignment horizontal="right" vertical="center" wrapText="1"/>
    </xf>
    <xf numFmtId="166" fontId="33" fillId="12" borderId="26" xfId="0" applyNumberFormat="1" applyFont="1" applyFill="1" applyBorder="1" applyAlignment="1">
      <alignment horizontal="right" vertical="center" wrapText="1"/>
    </xf>
    <xf numFmtId="165" fontId="8" fillId="11" borderId="11" xfId="8" applyNumberFormat="1" applyFont="1" applyFill="1" applyBorder="1" applyAlignment="1" applyProtection="1">
      <alignment horizontal="center" vertical="center" wrapText="1"/>
    </xf>
    <xf numFmtId="165" fontId="8" fillId="11" borderId="10" xfId="8" applyNumberFormat="1" applyFont="1" applyFill="1" applyBorder="1" applyAlignment="1" applyProtection="1">
      <alignment horizontal="center" vertical="center" wrapText="1"/>
    </xf>
    <xf numFmtId="165" fontId="8" fillId="11" borderId="15" xfId="8" applyNumberFormat="1" applyFont="1" applyFill="1" applyBorder="1" applyAlignment="1" applyProtection="1">
      <alignment horizontal="center" vertical="center" wrapText="1"/>
    </xf>
    <xf numFmtId="0" fontId="9" fillId="2" borderId="11" xfId="7" applyFont="1" applyFill="1" applyBorder="1" applyAlignment="1" applyProtection="1">
      <alignment horizontal="center" vertical="center" wrapText="1"/>
    </xf>
    <xf numFmtId="0" fontId="9" fillId="2" borderId="10" xfId="7" applyFont="1" applyFill="1" applyBorder="1" applyAlignment="1" applyProtection="1">
      <alignment horizontal="center" vertical="center" wrapText="1"/>
    </xf>
    <xf numFmtId="0" fontId="9" fillId="2" borderId="15" xfId="7" applyFont="1" applyFill="1" applyBorder="1" applyAlignment="1" applyProtection="1">
      <alignment horizontal="center" vertical="center" wrapText="1"/>
    </xf>
    <xf numFmtId="0" fontId="9" fillId="2" borderId="13" xfId="7" applyFont="1" applyFill="1" applyBorder="1" applyAlignment="1" applyProtection="1">
      <alignment horizontal="center" vertical="center" wrapText="1"/>
    </xf>
    <xf numFmtId="0" fontId="9" fillId="2" borderId="9" xfId="7" applyFont="1" applyFill="1" applyBorder="1" applyAlignment="1" applyProtection="1">
      <alignment horizontal="center" vertical="center" wrapText="1"/>
      <protection locked="0"/>
    </xf>
    <xf numFmtId="0" fontId="9" fillId="2" borderId="8" xfId="7" applyFont="1" applyFill="1" applyBorder="1" applyAlignment="1" applyProtection="1">
      <alignment horizontal="center" vertical="center" wrapText="1"/>
      <protection locked="0"/>
    </xf>
    <xf numFmtId="0" fontId="15" fillId="8" borderId="13" xfId="7" applyFont="1" applyFill="1" applyBorder="1" applyAlignment="1" applyProtection="1">
      <alignment horizontal="center" vertical="center"/>
    </xf>
    <xf numFmtId="0" fontId="15" fillId="8" borderId="17" xfId="7" applyFont="1" applyFill="1" applyBorder="1" applyAlignment="1" applyProtection="1">
      <alignment horizontal="center" vertical="center" wrapText="1"/>
    </xf>
    <xf numFmtId="0" fontId="15" fillId="8" borderId="18" xfId="7" applyFont="1" applyFill="1" applyBorder="1" applyAlignment="1" applyProtection="1">
      <alignment horizontal="center" vertical="center" wrapText="1"/>
    </xf>
    <xf numFmtId="0" fontId="15" fillId="8" borderId="19" xfId="7" applyFont="1" applyFill="1" applyBorder="1" applyAlignment="1" applyProtection="1">
      <alignment horizontal="center" vertical="center" wrapText="1"/>
    </xf>
    <xf numFmtId="0" fontId="15" fillId="8" borderId="11" xfId="7" applyFont="1" applyFill="1" applyBorder="1" applyAlignment="1" applyProtection="1">
      <alignment horizontal="center" vertical="center"/>
    </xf>
    <xf numFmtId="0" fontId="15" fillId="8" borderId="10" xfId="7" applyFont="1" applyFill="1" applyBorder="1" applyAlignment="1" applyProtection="1">
      <alignment horizontal="center" vertical="center"/>
    </xf>
    <xf numFmtId="0" fontId="15" fillId="8" borderId="15" xfId="7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center"/>
    </xf>
    <xf numFmtId="0" fontId="7" fillId="9" borderId="13" xfId="7" applyFont="1" applyFill="1" applyBorder="1" applyAlignment="1" applyProtection="1">
      <alignment horizontal="center" vertical="center"/>
    </xf>
    <xf numFmtId="0" fontId="9" fillId="9" borderId="13" xfId="7" applyFont="1" applyFill="1" applyBorder="1" applyAlignment="1" applyProtection="1">
      <alignment horizontal="center" vertical="center" wrapText="1"/>
    </xf>
    <xf numFmtId="0" fontId="9" fillId="9" borderId="9" xfId="7" applyFont="1" applyFill="1" applyBorder="1" applyAlignment="1" applyProtection="1">
      <alignment horizontal="center" vertical="center" wrapText="1"/>
    </xf>
    <xf numFmtId="0" fontId="9" fillId="9" borderId="8" xfId="7" applyFont="1" applyFill="1" applyBorder="1" applyAlignment="1" applyProtection="1">
      <alignment horizontal="center" vertical="center" wrapText="1"/>
    </xf>
    <xf numFmtId="0" fontId="9" fillId="9" borderId="11" xfId="7" applyFont="1" applyFill="1" applyBorder="1" applyAlignment="1" applyProtection="1">
      <alignment horizontal="center" vertical="center" wrapText="1"/>
    </xf>
    <xf numFmtId="0" fontId="9" fillId="9" borderId="10" xfId="7" applyFont="1" applyFill="1" applyBorder="1" applyAlignment="1" applyProtection="1">
      <alignment horizontal="center" vertical="center" wrapText="1"/>
    </xf>
    <xf numFmtId="0" fontId="8" fillId="0" borderId="0" xfId="9" applyFont="1" applyAlignment="1">
      <alignment horizontal="center" vertical="center"/>
    </xf>
    <xf numFmtId="0" fontId="9" fillId="4" borderId="5" xfId="9" applyFont="1" applyFill="1" applyBorder="1" applyAlignment="1">
      <alignment horizontal="center" vertical="center"/>
    </xf>
    <xf numFmtId="0" fontId="9" fillId="4" borderId="2" xfId="9" applyFont="1" applyFill="1" applyBorder="1" applyAlignment="1">
      <alignment horizontal="center" vertical="center"/>
    </xf>
    <xf numFmtId="49" fontId="6" fillId="0" borderId="0" xfId="10" applyNumberFormat="1" applyFont="1" applyAlignment="1">
      <alignment horizontal="center" vertical="center" wrapText="1"/>
    </xf>
    <xf numFmtId="0" fontId="33" fillId="12" borderId="26" xfId="0" applyFont="1" applyFill="1" applyBorder="1" applyAlignment="1">
      <alignment horizontal="center" vertical="center" wrapText="1"/>
    </xf>
  </cellXfs>
  <cellStyles count="24">
    <cellStyle name="Normalny" xfId="0" builtinId="0"/>
    <cellStyle name="Normalny 10" xfId="3"/>
    <cellStyle name="Normalny 11" xfId="20"/>
    <cellStyle name="Normalny 12" xfId="21"/>
    <cellStyle name="Normalny 13" xfId="22"/>
    <cellStyle name="Normalny 14" xfId="23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9"/>
  <sheetViews>
    <sheetView topLeftCell="A94" zoomScaleNormal="100" workbookViewId="0">
      <selection activeCell="A48" sqref="A48:XFD49"/>
    </sheetView>
  </sheetViews>
  <sheetFormatPr defaultColWidth="11.6640625" defaultRowHeight="12.75"/>
  <cols>
    <col min="1" max="1" width="5.6640625" style="30" customWidth="1"/>
    <col min="2" max="2" width="6.6640625" style="30" customWidth="1"/>
    <col min="3" max="3" width="9.33203125" style="30" customWidth="1"/>
    <col min="4" max="4" width="7.33203125" style="30" customWidth="1"/>
    <col min="5" max="5" width="83.1640625" style="30" customWidth="1"/>
    <col min="6" max="9" width="14.33203125" style="30" customWidth="1"/>
    <col min="10" max="10" width="15.33203125" style="30" customWidth="1"/>
    <col min="11" max="11" width="34.33203125" style="48" customWidth="1"/>
    <col min="12" max="12" width="11" style="187" hidden="1" customWidth="1"/>
    <col min="13" max="13" width="13.83203125" style="30" bestFit="1" customWidth="1"/>
    <col min="14" max="14" width="13" style="30" bestFit="1" customWidth="1"/>
    <col min="15" max="16384" width="11.6640625" style="30"/>
  </cols>
  <sheetData>
    <row r="1" spans="1:12" ht="12" customHeight="1"/>
    <row r="2" spans="1:12" ht="15.75" customHeight="1">
      <c r="A2" s="231" t="s">
        <v>178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49"/>
    </row>
    <row r="4" spans="1:12" ht="19.5" customHeight="1" thickBot="1">
      <c r="A4" s="232" t="s">
        <v>6</v>
      </c>
      <c r="B4" s="233" t="s">
        <v>0</v>
      </c>
      <c r="C4" s="233" t="s">
        <v>76</v>
      </c>
      <c r="D4" s="234" t="s">
        <v>42</v>
      </c>
      <c r="E4" s="233" t="s">
        <v>43</v>
      </c>
      <c r="F4" s="233" t="s">
        <v>44</v>
      </c>
      <c r="G4" s="236" t="s">
        <v>45</v>
      </c>
      <c r="H4" s="237"/>
      <c r="I4" s="237"/>
      <c r="J4" s="237"/>
      <c r="K4" s="234" t="s">
        <v>75</v>
      </c>
      <c r="L4" s="222"/>
    </row>
    <row r="5" spans="1:12" ht="95.25" customHeight="1" thickBot="1">
      <c r="A5" s="232"/>
      <c r="B5" s="233"/>
      <c r="C5" s="233"/>
      <c r="D5" s="235"/>
      <c r="E5" s="233"/>
      <c r="F5" s="233"/>
      <c r="G5" s="173" t="s">
        <v>74</v>
      </c>
      <c r="H5" s="173" t="s">
        <v>278</v>
      </c>
      <c r="I5" s="173" t="s">
        <v>73</v>
      </c>
      <c r="J5" s="173" t="s">
        <v>72</v>
      </c>
      <c r="K5" s="235"/>
      <c r="L5" s="223"/>
    </row>
    <row r="6" spans="1:12" s="139" customFormat="1" ht="15" customHeight="1" thickBot="1">
      <c r="A6" s="136" t="s">
        <v>7</v>
      </c>
      <c r="B6" s="136" t="s">
        <v>8</v>
      </c>
      <c r="C6" s="136" t="s">
        <v>9</v>
      </c>
      <c r="D6" s="136" t="s">
        <v>10</v>
      </c>
      <c r="E6" s="137" t="s">
        <v>11</v>
      </c>
      <c r="F6" s="136" t="s">
        <v>69</v>
      </c>
      <c r="G6" s="136" t="s">
        <v>68</v>
      </c>
      <c r="H6" s="136" t="s">
        <v>67</v>
      </c>
      <c r="I6" s="136" t="s">
        <v>66</v>
      </c>
      <c r="J6" s="136" t="s">
        <v>64</v>
      </c>
      <c r="K6" s="136" t="s">
        <v>63</v>
      </c>
      <c r="L6" s="138"/>
    </row>
    <row r="7" spans="1:12" s="32" customFormat="1" ht="27.95" customHeight="1" thickBot="1">
      <c r="A7" s="224" t="s">
        <v>71</v>
      </c>
      <c r="B7" s="224"/>
      <c r="C7" s="224"/>
      <c r="D7" s="224"/>
      <c r="E7" s="224"/>
      <c r="F7" s="92">
        <f>SUM(G7:J7)</f>
        <v>506775</v>
      </c>
      <c r="G7" s="92">
        <f>SUM(G8:G11)</f>
        <v>321775</v>
      </c>
      <c r="H7" s="93"/>
      <c r="I7" s="94"/>
      <c r="J7" s="95">
        <f>65000+130000-10000</f>
        <v>185000</v>
      </c>
      <c r="K7" s="96"/>
      <c r="L7" s="97"/>
    </row>
    <row r="8" spans="1:12" s="41" customFormat="1" ht="45.75" customHeight="1" thickBot="1">
      <c r="A8" s="140" t="s">
        <v>7</v>
      </c>
      <c r="B8" s="141">
        <v>600</v>
      </c>
      <c r="C8" s="141">
        <v>60014</v>
      </c>
      <c r="D8" s="141">
        <v>6050</v>
      </c>
      <c r="E8" s="142" t="s">
        <v>132</v>
      </c>
      <c r="F8" s="55">
        <f>G8</f>
        <v>221775</v>
      </c>
      <c r="G8" s="56">
        <f>75083+280000-207483+74175</f>
        <v>221775</v>
      </c>
      <c r="H8" s="56"/>
      <c r="I8" s="57"/>
      <c r="J8" s="58" t="s">
        <v>268</v>
      </c>
      <c r="K8" s="59"/>
      <c r="L8" s="98" t="s">
        <v>48</v>
      </c>
    </row>
    <row r="9" spans="1:12" s="41" customFormat="1" ht="32.25" customHeight="1" thickBot="1">
      <c r="A9" s="87" t="s">
        <v>8</v>
      </c>
      <c r="B9" s="70">
        <v>600</v>
      </c>
      <c r="C9" s="70">
        <v>60014</v>
      </c>
      <c r="D9" s="70">
        <v>6050</v>
      </c>
      <c r="E9" s="75" t="s">
        <v>172</v>
      </c>
      <c r="F9" s="76">
        <f>G9+50000</f>
        <v>100000</v>
      </c>
      <c r="G9" s="71">
        <v>50000</v>
      </c>
      <c r="H9" s="71"/>
      <c r="I9" s="72"/>
      <c r="J9" s="73" t="s">
        <v>119</v>
      </c>
      <c r="K9" s="74"/>
      <c r="L9" s="98" t="s">
        <v>48</v>
      </c>
    </row>
    <row r="10" spans="1:12" s="41" customFormat="1" ht="45" customHeight="1" thickBot="1">
      <c r="A10" s="86" t="s">
        <v>9</v>
      </c>
      <c r="B10" s="70">
        <v>600</v>
      </c>
      <c r="C10" s="70">
        <v>60014</v>
      </c>
      <c r="D10" s="70">
        <v>6050</v>
      </c>
      <c r="E10" s="75" t="s">
        <v>176</v>
      </c>
      <c r="F10" s="76">
        <f>G10+15000</f>
        <v>55000</v>
      </c>
      <c r="G10" s="71">
        <v>40000</v>
      </c>
      <c r="H10" s="71"/>
      <c r="I10" s="72"/>
      <c r="J10" s="73" t="s">
        <v>120</v>
      </c>
      <c r="K10" s="74"/>
      <c r="L10" s="69"/>
    </row>
    <row r="11" spans="1:12" s="41" customFormat="1" ht="30.6" customHeight="1" thickBot="1">
      <c r="A11" s="175" t="s">
        <v>10</v>
      </c>
      <c r="B11" s="176">
        <v>600</v>
      </c>
      <c r="C11" s="177">
        <v>60014</v>
      </c>
      <c r="D11" s="178">
        <v>6050</v>
      </c>
      <c r="E11" s="179" t="s">
        <v>177</v>
      </c>
      <c r="F11" s="180">
        <f>120000+G11</f>
        <v>130000</v>
      </c>
      <c r="G11" s="56">
        <v>10000</v>
      </c>
      <c r="H11" s="56"/>
      <c r="I11" s="57"/>
      <c r="J11" s="58" t="s">
        <v>294</v>
      </c>
      <c r="K11" s="59"/>
      <c r="L11" s="69"/>
    </row>
    <row r="12" spans="1:12" s="41" customFormat="1" ht="27.95" customHeight="1" thickBot="1">
      <c r="A12" s="225" t="s">
        <v>112</v>
      </c>
      <c r="B12" s="226"/>
      <c r="C12" s="226"/>
      <c r="D12" s="226"/>
      <c r="E12" s="227"/>
      <c r="F12" s="95">
        <f>SUM(G12:J12)</f>
        <v>553705</v>
      </c>
      <c r="G12" s="95">
        <f>SUM(G13:G18)</f>
        <v>68705</v>
      </c>
      <c r="H12" s="96"/>
      <c r="I12" s="96"/>
      <c r="J12" s="95">
        <f>150000+50000+30000+25000+60000+70000+100000</f>
        <v>485000</v>
      </c>
      <c r="K12" s="96"/>
      <c r="L12" s="69"/>
    </row>
    <row r="13" spans="1:12" s="41" customFormat="1" ht="44.25" customHeight="1" thickBot="1">
      <c r="A13" s="52" t="s">
        <v>11</v>
      </c>
      <c r="B13" s="53">
        <v>600</v>
      </c>
      <c r="C13" s="53">
        <v>60014</v>
      </c>
      <c r="D13" s="53">
        <v>6050</v>
      </c>
      <c r="E13" s="183" t="s">
        <v>398</v>
      </c>
      <c r="F13" s="55">
        <f>150000-18197</f>
        <v>131803</v>
      </c>
      <c r="G13" s="56">
        <v>0</v>
      </c>
      <c r="H13" s="56"/>
      <c r="I13" s="57"/>
      <c r="J13" s="58" t="s">
        <v>399</v>
      </c>
      <c r="K13" s="59"/>
      <c r="L13" s="69"/>
    </row>
    <row r="14" spans="1:12" s="41" customFormat="1" ht="42.75" customHeight="1" thickBot="1">
      <c r="A14" s="83" t="s">
        <v>69</v>
      </c>
      <c r="B14" s="77">
        <v>600</v>
      </c>
      <c r="C14" s="77">
        <v>60014</v>
      </c>
      <c r="D14" s="77">
        <v>6050</v>
      </c>
      <c r="E14" s="78" t="s">
        <v>139</v>
      </c>
      <c r="F14" s="79">
        <v>50000</v>
      </c>
      <c r="G14" s="71">
        <v>0</v>
      </c>
      <c r="H14" s="71"/>
      <c r="I14" s="72"/>
      <c r="J14" s="73" t="s">
        <v>289</v>
      </c>
      <c r="K14" s="74"/>
      <c r="L14" s="69"/>
    </row>
    <row r="15" spans="1:12" s="41" customFormat="1" ht="51.75" customHeight="1" thickBot="1">
      <c r="A15" s="83" t="s">
        <v>68</v>
      </c>
      <c r="B15" s="77">
        <v>600</v>
      </c>
      <c r="C15" s="77">
        <v>60014</v>
      </c>
      <c r="D15" s="77">
        <v>6050</v>
      </c>
      <c r="E15" s="78" t="s">
        <v>134</v>
      </c>
      <c r="F15" s="79">
        <v>30000</v>
      </c>
      <c r="G15" s="71">
        <v>0</v>
      </c>
      <c r="H15" s="71"/>
      <c r="I15" s="72"/>
      <c r="J15" s="73" t="s">
        <v>290</v>
      </c>
      <c r="K15" s="74"/>
      <c r="L15" s="69"/>
    </row>
    <row r="16" spans="1:12" s="41" customFormat="1" ht="25.5" customHeight="1" thickBot="1">
      <c r="A16" s="83" t="s">
        <v>67</v>
      </c>
      <c r="B16" s="77">
        <v>600</v>
      </c>
      <c r="C16" s="77">
        <v>60014</v>
      </c>
      <c r="D16" s="77">
        <v>6050</v>
      </c>
      <c r="E16" s="78" t="s">
        <v>133</v>
      </c>
      <c r="F16" s="79">
        <v>25000</v>
      </c>
      <c r="G16" s="71">
        <v>0</v>
      </c>
      <c r="H16" s="71"/>
      <c r="I16" s="72"/>
      <c r="J16" s="73" t="s">
        <v>291</v>
      </c>
      <c r="K16" s="74"/>
      <c r="L16" s="69"/>
    </row>
    <row r="17" spans="1:14" s="41" customFormat="1" ht="30" customHeight="1" thickBot="1">
      <c r="A17" s="52" t="s">
        <v>66</v>
      </c>
      <c r="B17" s="53">
        <v>600</v>
      </c>
      <c r="C17" s="53">
        <v>60014</v>
      </c>
      <c r="D17" s="53">
        <v>6050</v>
      </c>
      <c r="E17" s="54" t="s">
        <v>121</v>
      </c>
      <c r="F17" s="55">
        <f>60000+6237</f>
        <v>66237</v>
      </c>
      <c r="G17" s="56">
        <v>6237</v>
      </c>
      <c r="H17" s="56"/>
      <c r="I17" s="57"/>
      <c r="J17" s="58" t="s">
        <v>292</v>
      </c>
      <c r="K17" s="59"/>
      <c r="L17" s="69"/>
    </row>
    <row r="18" spans="1:14" s="43" customFormat="1" ht="37.5" customHeight="1" thickBot="1">
      <c r="A18" s="52" t="s">
        <v>64</v>
      </c>
      <c r="B18" s="53">
        <v>600</v>
      </c>
      <c r="C18" s="53">
        <v>60014</v>
      </c>
      <c r="D18" s="53">
        <v>6050</v>
      </c>
      <c r="E18" s="184" t="s">
        <v>400</v>
      </c>
      <c r="F18" s="55">
        <f>188197+62468</f>
        <v>250665</v>
      </c>
      <c r="G18" s="56">
        <f>9539+52929</f>
        <v>62468</v>
      </c>
      <c r="H18" s="56"/>
      <c r="I18" s="57"/>
      <c r="J18" s="58" t="s">
        <v>401</v>
      </c>
      <c r="K18" s="59"/>
      <c r="L18" s="112"/>
    </row>
    <row r="19" spans="1:14" s="45" customFormat="1" ht="27.95" customHeight="1" thickBot="1">
      <c r="A19" s="224" t="s">
        <v>70</v>
      </c>
      <c r="B19" s="224"/>
      <c r="C19" s="224"/>
      <c r="D19" s="224"/>
      <c r="E19" s="224"/>
      <c r="F19" s="92">
        <f>SUM(G19:J19)</f>
        <v>5545979</v>
      </c>
      <c r="G19" s="92">
        <f>SUM(G20:G24)</f>
        <v>1138815</v>
      </c>
      <c r="H19" s="92">
        <f>SUM(H20:H24)</f>
        <v>1558673</v>
      </c>
      <c r="I19" s="99"/>
      <c r="J19" s="100">
        <f>1924000+120000+850000-45509</f>
        <v>2848491</v>
      </c>
      <c r="K19" s="101"/>
      <c r="L19" s="102"/>
    </row>
    <row r="20" spans="1:14" s="34" customFormat="1" ht="34.5" customHeight="1" thickBot="1">
      <c r="A20" s="52" t="s">
        <v>63</v>
      </c>
      <c r="B20" s="53">
        <v>600</v>
      </c>
      <c r="C20" s="53">
        <v>60014</v>
      </c>
      <c r="D20" s="53">
        <v>6050</v>
      </c>
      <c r="E20" s="54" t="s">
        <v>77</v>
      </c>
      <c r="F20" s="55">
        <f>SUM(G20:H20)+850000</f>
        <v>1573252</v>
      </c>
      <c r="G20" s="56">
        <v>723252</v>
      </c>
      <c r="H20" s="60"/>
      <c r="I20" s="61"/>
      <c r="J20" s="58" t="s">
        <v>301</v>
      </c>
      <c r="K20" s="62"/>
      <c r="L20" s="98" t="s">
        <v>48</v>
      </c>
    </row>
    <row r="21" spans="1:14" s="34" customFormat="1" ht="34.5" customHeight="1" thickBot="1">
      <c r="A21" s="52" t="s">
        <v>98</v>
      </c>
      <c r="B21" s="53">
        <v>600</v>
      </c>
      <c r="C21" s="53">
        <v>60014</v>
      </c>
      <c r="D21" s="53">
        <v>6050</v>
      </c>
      <c r="E21" s="54" t="s">
        <v>78</v>
      </c>
      <c r="F21" s="55">
        <f>SUM(G21:H21)+1924000</f>
        <v>3139000</v>
      </c>
      <c r="G21" s="56"/>
      <c r="H21" s="56">
        <v>1215000</v>
      </c>
      <c r="I21" s="61"/>
      <c r="J21" s="135" t="s">
        <v>181</v>
      </c>
      <c r="K21" s="62"/>
      <c r="L21" s="98" t="s">
        <v>48</v>
      </c>
    </row>
    <row r="22" spans="1:14" s="34" customFormat="1" ht="34.5" customHeight="1" thickBot="1">
      <c r="A22" s="52" t="s">
        <v>99</v>
      </c>
      <c r="B22" s="53">
        <v>600</v>
      </c>
      <c r="C22" s="53">
        <v>60014</v>
      </c>
      <c r="D22" s="53">
        <v>6050</v>
      </c>
      <c r="E22" s="54" t="s">
        <v>173</v>
      </c>
      <c r="F22" s="55">
        <f t="shared" ref="F22:F24" si="0">SUM(G22:H22)</f>
        <v>229236</v>
      </c>
      <c r="G22" s="56">
        <f>150000+28350+50886</f>
        <v>229236</v>
      </c>
      <c r="H22" s="56"/>
      <c r="I22" s="61"/>
      <c r="J22" s="103"/>
      <c r="K22" s="62"/>
      <c r="L22" s="69"/>
    </row>
    <row r="23" spans="1:14" s="34" customFormat="1" ht="39" customHeight="1" thickBot="1">
      <c r="A23" s="52" t="s">
        <v>100</v>
      </c>
      <c r="B23" s="53">
        <v>600</v>
      </c>
      <c r="C23" s="53">
        <v>60014</v>
      </c>
      <c r="D23" s="53">
        <v>6050</v>
      </c>
      <c r="E23" s="54" t="s">
        <v>406</v>
      </c>
      <c r="F23" s="55">
        <v>74491</v>
      </c>
      <c r="G23" s="56">
        <v>0</v>
      </c>
      <c r="H23" s="56"/>
      <c r="I23" s="61"/>
      <c r="J23" s="58" t="s">
        <v>405</v>
      </c>
      <c r="K23" s="62"/>
      <c r="L23" s="188"/>
    </row>
    <row r="24" spans="1:14" s="34" customFormat="1" ht="39.75" customHeight="1" thickBot="1">
      <c r="A24" s="52" t="s">
        <v>101</v>
      </c>
      <c r="B24" s="53">
        <v>600</v>
      </c>
      <c r="C24" s="53">
        <v>60014</v>
      </c>
      <c r="D24" s="53">
        <v>6050</v>
      </c>
      <c r="E24" s="78" t="s">
        <v>126</v>
      </c>
      <c r="F24" s="55">
        <f t="shared" si="0"/>
        <v>530000</v>
      </c>
      <c r="G24" s="71">
        <f>266327-80000</f>
        <v>186327</v>
      </c>
      <c r="H24" s="71">
        <f>263673+80000</f>
        <v>343673</v>
      </c>
      <c r="I24" s="80"/>
      <c r="J24" s="81"/>
      <c r="K24" s="82"/>
      <c r="L24" s="188"/>
    </row>
    <row r="25" spans="1:14" s="33" customFormat="1" ht="27.95" customHeight="1" thickBot="1">
      <c r="A25" s="224" t="s">
        <v>65</v>
      </c>
      <c r="B25" s="224"/>
      <c r="C25" s="224"/>
      <c r="D25" s="224"/>
      <c r="E25" s="224"/>
      <c r="F25" s="92">
        <f>SUM(G25:J25)</f>
        <v>3904156</v>
      </c>
      <c r="G25" s="92">
        <f>SUM(G26:G31)</f>
        <v>19931</v>
      </c>
      <c r="H25" s="92">
        <f>SUM(H26:H31)</f>
        <v>628446</v>
      </c>
      <c r="I25" s="92">
        <f>SUM(I26:I30)</f>
        <v>0</v>
      </c>
      <c r="J25" s="100">
        <f>474500+850694+2658600+50000+100000+70000+25000-2658600+1585585+100000</f>
        <v>3255779</v>
      </c>
      <c r="K25" s="96"/>
      <c r="L25" s="109"/>
    </row>
    <row r="26" spans="1:14" s="41" customFormat="1" ht="50.25" customHeight="1" thickBot="1">
      <c r="A26" s="52" t="s">
        <v>102</v>
      </c>
      <c r="B26" s="53">
        <v>600</v>
      </c>
      <c r="C26" s="53">
        <v>60014</v>
      </c>
      <c r="D26" s="53">
        <v>6050</v>
      </c>
      <c r="E26" s="104" t="s">
        <v>180</v>
      </c>
      <c r="F26" s="55">
        <f>628446+474500+G26+850694</f>
        <v>1953640</v>
      </c>
      <c r="G26" s="56"/>
      <c r="H26" s="56">
        <v>628446</v>
      </c>
      <c r="I26" s="57"/>
      <c r="J26" s="58" t="s">
        <v>182</v>
      </c>
      <c r="K26" s="62"/>
      <c r="L26" s="98" t="s">
        <v>48</v>
      </c>
    </row>
    <row r="27" spans="1:14" s="41" customFormat="1" ht="30" customHeight="1" thickBot="1">
      <c r="A27" s="52" t="s">
        <v>103</v>
      </c>
      <c r="B27" s="143">
        <v>600</v>
      </c>
      <c r="C27" s="144">
        <v>60014</v>
      </c>
      <c r="D27" s="144">
        <v>6050</v>
      </c>
      <c r="E27" s="145" t="s">
        <v>79</v>
      </c>
      <c r="F27" s="181">
        <f>G27+1585585</f>
        <v>1587585</v>
      </c>
      <c r="G27" s="56">
        <v>2000</v>
      </c>
      <c r="H27" s="56"/>
      <c r="I27" s="57"/>
      <c r="J27" s="58" t="s">
        <v>379</v>
      </c>
      <c r="K27" s="59"/>
      <c r="L27" s="69"/>
      <c r="M27" s="166"/>
      <c r="N27" s="163"/>
    </row>
    <row r="28" spans="1:14" s="41" customFormat="1" ht="40.5" customHeight="1" thickBot="1">
      <c r="A28" s="52" t="s">
        <v>104</v>
      </c>
      <c r="B28" s="143">
        <v>600</v>
      </c>
      <c r="C28" s="144">
        <v>60014</v>
      </c>
      <c r="D28" s="144">
        <v>6050</v>
      </c>
      <c r="E28" s="145" t="s">
        <v>137</v>
      </c>
      <c r="F28" s="55">
        <f>50000+70000+17931</f>
        <v>137931</v>
      </c>
      <c r="G28" s="56">
        <v>17931</v>
      </c>
      <c r="H28" s="56"/>
      <c r="I28" s="57"/>
      <c r="J28" s="58" t="s">
        <v>306</v>
      </c>
      <c r="K28" s="62"/>
      <c r="L28" s="69"/>
    </row>
    <row r="29" spans="1:14" s="47" customFormat="1" ht="30.75" customHeight="1" thickBot="1">
      <c r="A29" s="52" t="s">
        <v>105</v>
      </c>
      <c r="B29" s="105">
        <v>600</v>
      </c>
      <c r="C29" s="106">
        <v>60014</v>
      </c>
      <c r="D29" s="106">
        <v>6050</v>
      </c>
      <c r="E29" s="146" t="s">
        <v>140</v>
      </c>
      <c r="F29" s="79">
        <v>100000</v>
      </c>
      <c r="G29" s="71">
        <v>0</v>
      </c>
      <c r="H29" s="71"/>
      <c r="I29" s="72"/>
      <c r="J29" s="73" t="s">
        <v>295</v>
      </c>
      <c r="K29" s="82"/>
      <c r="L29" s="69"/>
    </row>
    <row r="30" spans="1:14" s="41" customFormat="1" ht="40.5" customHeight="1" thickBot="1">
      <c r="A30" s="52" t="s">
        <v>106</v>
      </c>
      <c r="B30" s="143">
        <v>600</v>
      </c>
      <c r="C30" s="144">
        <v>60014</v>
      </c>
      <c r="D30" s="144">
        <v>6050</v>
      </c>
      <c r="E30" s="145" t="s">
        <v>122</v>
      </c>
      <c r="F30" s="55">
        <v>25000</v>
      </c>
      <c r="G30" s="56"/>
      <c r="H30" s="56"/>
      <c r="I30" s="57"/>
      <c r="J30" s="58" t="s">
        <v>291</v>
      </c>
      <c r="K30" s="62"/>
      <c r="L30" s="69"/>
    </row>
    <row r="31" spans="1:14" s="41" customFormat="1" ht="40.5" customHeight="1" thickBot="1">
      <c r="A31" s="52" t="s">
        <v>107</v>
      </c>
      <c r="B31" s="143">
        <v>600</v>
      </c>
      <c r="C31" s="144">
        <v>60014</v>
      </c>
      <c r="D31" s="144">
        <v>6050</v>
      </c>
      <c r="E31" s="55" t="s">
        <v>394</v>
      </c>
      <c r="F31" s="55">
        <v>100000</v>
      </c>
      <c r="G31" s="56"/>
      <c r="H31" s="56"/>
      <c r="I31" s="57"/>
      <c r="J31" s="58" t="s">
        <v>395</v>
      </c>
      <c r="K31" s="62"/>
      <c r="L31" s="98" t="s">
        <v>48</v>
      </c>
    </row>
    <row r="32" spans="1:14" s="46" customFormat="1" ht="27.95" customHeight="1" thickBot="1">
      <c r="A32" s="224" t="s">
        <v>62</v>
      </c>
      <c r="B32" s="224"/>
      <c r="C32" s="224"/>
      <c r="D32" s="224"/>
      <c r="E32" s="224"/>
      <c r="F32" s="92">
        <f>SUM(G32:J32)</f>
        <v>445534</v>
      </c>
      <c r="G32" s="92">
        <f>SUM(G33:G37)</f>
        <v>140166</v>
      </c>
      <c r="H32" s="92">
        <f t="shared" ref="H32:I32" si="1">SUM(H33:H37)</f>
        <v>0</v>
      </c>
      <c r="I32" s="92">
        <f t="shared" si="1"/>
        <v>0</v>
      </c>
      <c r="J32" s="100">
        <f>100000+75000+84834+45534</f>
        <v>305368</v>
      </c>
      <c r="K32" s="107"/>
      <c r="L32" s="69"/>
    </row>
    <row r="33" spans="1:12" s="34" customFormat="1" ht="30" customHeight="1" thickBot="1">
      <c r="A33" s="52" t="s">
        <v>108</v>
      </c>
      <c r="B33" s="52">
        <v>600</v>
      </c>
      <c r="C33" s="52">
        <v>60014</v>
      </c>
      <c r="D33" s="52">
        <v>6050</v>
      </c>
      <c r="E33" s="63" t="s">
        <v>87</v>
      </c>
      <c r="F33" s="55">
        <f>G33</f>
        <v>100000</v>
      </c>
      <c r="G33" s="56">
        <v>100000</v>
      </c>
      <c r="H33" s="56"/>
      <c r="I33" s="57"/>
      <c r="J33" s="58" t="s">
        <v>269</v>
      </c>
      <c r="K33" s="62"/>
      <c r="L33" s="98" t="s">
        <v>48</v>
      </c>
    </row>
    <row r="34" spans="1:12" s="38" customFormat="1" ht="30" customHeight="1" thickBot="1">
      <c r="A34" s="52" t="s">
        <v>109</v>
      </c>
      <c r="B34" s="52">
        <v>600</v>
      </c>
      <c r="C34" s="52">
        <v>60014</v>
      </c>
      <c r="D34" s="52">
        <v>6050</v>
      </c>
      <c r="E34" s="63" t="s">
        <v>113</v>
      </c>
      <c r="F34" s="55">
        <v>100000</v>
      </c>
      <c r="G34" s="56">
        <v>0</v>
      </c>
      <c r="H34" s="56"/>
      <c r="I34" s="57"/>
      <c r="J34" s="58" t="s">
        <v>295</v>
      </c>
      <c r="K34" s="62"/>
      <c r="L34" s="98" t="s">
        <v>48</v>
      </c>
    </row>
    <row r="35" spans="1:12" s="34" customFormat="1" ht="66.75" customHeight="1" thickBot="1">
      <c r="A35" s="52" t="s">
        <v>110</v>
      </c>
      <c r="B35" s="52">
        <v>600</v>
      </c>
      <c r="C35" s="52">
        <v>60014</v>
      </c>
      <c r="D35" s="52">
        <v>6050</v>
      </c>
      <c r="E35" s="63" t="s">
        <v>138</v>
      </c>
      <c r="F35" s="55">
        <f>25000+75000</f>
        <v>100000</v>
      </c>
      <c r="G35" s="56">
        <v>25000</v>
      </c>
      <c r="H35" s="56"/>
      <c r="I35" s="57"/>
      <c r="J35" s="58" t="s">
        <v>302</v>
      </c>
      <c r="K35" s="62"/>
      <c r="L35" s="69"/>
    </row>
    <row r="36" spans="1:12" s="34" customFormat="1" ht="28.5" customHeight="1" thickBot="1">
      <c r="A36" s="52" t="s">
        <v>111</v>
      </c>
      <c r="B36" s="52">
        <v>600</v>
      </c>
      <c r="C36" s="52">
        <v>60014</v>
      </c>
      <c r="D36" s="52">
        <v>6050</v>
      </c>
      <c r="E36" s="63" t="s">
        <v>407</v>
      </c>
      <c r="F36" s="55">
        <v>45534</v>
      </c>
      <c r="G36" s="56">
        <v>0</v>
      </c>
      <c r="H36" s="56"/>
      <c r="I36" s="57"/>
      <c r="J36" s="58" t="s">
        <v>408</v>
      </c>
      <c r="K36" s="62"/>
      <c r="L36" s="98" t="s">
        <v>48</v>
      </c>
    </row>
    <row r="37" spans="1:12" s="34" customFormat="1" ht="30" customHeight="1" thickBot="1">
      <c r="A37" s="52" t="s">
        <v>116</v>
      </c>
      <c r="B37" s="52">
        <v>600</v>
      </c>
      <c r="C37" s="52">
        <v>60014</v>
      </c>
      <c r="D37" s="52">
        <v>6050</v>
      </c>
      <c r="E37" s="63" t="s">
        <v>123</v>
      </c>
      <c r="F37" s="55">
        <f>G37+84834</f>
        <v>100000</v>
      </c>
      <c r="G37" s="56">
        <v>15166</v>
      </c>
      <c r="H37" s="56"/>
      <c r="I37" s="57"/>
      <c r="J37" s="58" t="s">
        <v>303</v>
      </c>
      <c r="K37" s="62"/>
      <c r="L37" s="98" t="s">
        <v>48</v>
      </c>
    </row>
    <row r="38" spans="1:12" s="38" customFormat="1" ht="27.95" customHeight="1" thickBot="1">
      <c r="A38" s="224" t="s">
        <v>114</v>
      </c>
      <c r="B38" s="224"/>
      <c r="C38" s="224"/>
      <c r="D38" s="224"/>
      <c r="E38" s="224"/>
      <c r="F38" s="100">
        <f>SUM(G38:J38)</f>
        <v>379224</v>
      </c>
      <c r="G38" s="100">
        <f>SUM(G39:G43)</f>
        <v>179224</v>
      </c>
      <c r="H38" s="128">
        <f t="shared" ref="H38:I38" si="2">SUM(H39:H43)</f>
        <v>0</v>
      </c>
      <c r="I38" s="128">
        <f t="shared" si="2"/>
        <v>0</v>
      </c>
      <c r="J38" s="100">
        <f>50000+25000+20000+25000+100000-20000</f>
        <v>200000</v>
      </c>
      <c r="K38" s="107"/>
      <c r="L38" s="69"/>
    </row>
    <row r="39" spans="1:12" s="38" customFormat="1" ht="30" customHeight="1" thickBot="1">
      <c r="A39" s="52" t="s">
        <v>117</v>
      </c>
      <c r="B39" s="83">
        <v>600</v>
      </c>
      <c r="C39" s="83">
        <v>60014</v>
      </c>
      <c r="D39" s="83">
        <v>6050</v>
      </c>
      <c r="E39" s="84" t="s">
        <v>115</v>
      </c>
      <c r="F39" s="79">
        <f>G39+50000</f>
        <v>200000</v>
      </c>
      <c r="G39" s="71">
        <f>100000+50000</f>
        <v>150000</v>
      </c>
      <c r="H39" s="71"/>
      <c r="I39" s="72"/>
      <c r="J39" s="73" t="s">
        <v>119</v>
      </c>
      <c r="K39" s="82"/>
      <c r="L39" s="98" t="s">
        <v>48</v>
      </c>
    </row>
    <row r="40" spans="1:12" s="38" customFormat="1" ht="36" customHeight="1" thickBot="1">
      <c r="A40" s="52" t="s">
        <v>118</v>
      </c>
      <c r="B40" s="52">
        <v>600</v>
      </c>
      <c r="C40" s="52">
        <v>60014</v>
      </c>
      <c r="D40" s="52">
        <v>6050</v>
      </c>
      <c r="E40" s="63" t="s">
        <v>135</v>
      </c>
      <c r="F40" s="55">
        <f>G40+25000</f>
        <v>40461</v>
      </c>
      <c r="G40" s="56">
        <f>25000-9539</f>
        <v>15461</v>
      </c>
      <c r="H40" s="56"/>
      <c r="I40" s="57"/>
      <c r="J40" s="58" t="s">
        <v>124</v>
      </c>
      <c r="K40" s="62"/>
      <c r="L40" s="69"/>
    </row>
    <row r="41" spans="1:12" s="34" customFormat="1" ht="30" customHeight="1" thickBot="1">
      <c r="A41" s="52" t="s">
        <v>142</v>
      </c>
      <c r="B41" s="52">
        <v>600</v>
      </c>
      <c r="C41" s="52">
        <v>60014</v>
      </c>
      <c r="D41" s="52">
        <v>6050</v>
      </c>
      <c r="E41" s="63" t="s">
        <v>141</v>
      </c>
      <c r="F41" s="55">
        <f>20000-6237</f>
        <v>13763</v>
      </c>
      <c r="G41" s="56">
        <f>20000-6237</f>
        <v>13763</v>
      </c>
      <c r="H41" s="56"/>
      <c r="I41" s="57"/>
      <c r="J41" s="58" t="s">
        <v>304</v>
      </c>
      <c r="K41" s="62"/>
      <c r="L41" s="69"/>
    </row>
    <row r="42" spans="1:12" s="38" customFormat="1" ht="32.25" customHeight="1" thickBot="1">
      <c r="A42" s="52" t="s">
        <v>143</v>
      </c>
      <c r="B42" s="83">
        <v>600</v>
      </c>
      <c r="C42" s="83">
        <v>60014</v>
      </c>
      <c r="D42" s="83">
        <v>6050</v>
      </c>
      <c r="E42" s="84" t="s">
        <v>136</v>
      </c>
      <c r="F42" s="79">
        <v>25000</v>
      </c>
      <c r="G42" s="71">
        <v>0</v>
      </c>
      <c r="H42" s="71"/>
      <c r="I42" s="72"/>
      <c r="J42" s="73" t="s">
        <v>291</v>
      </c>
      <c r="K42" s="82"/>
      <c r="L42" s="69"/>
    </row>
    <row r="43" spans="1:12" s="38" customFormat="1" ht="30" customHeight="1" thickBot="1">
      <c r="A43" s="52" t="s">
        <v>144</v>
      </c>
      <c r="B43" s="83">
        <v>600</v>
      </c>
      <c r="C43" s="83">
        <v>60014</v>
      </c>
      <c r="D43" s="83">
        <v>6050</v>
      </c>
      <c r="E43" s="84" t="s">
        <v>125</v>
      </c>
      <c r="F43" s="79">
        <v>100000</v>
      </c>
      <c r="G43" s="71">
        <v>0</v>
      </c>
      <c r="H43" s="71"/>
      <c r="I43" s="72"/>
      <c r="J43" s="73" t="s">
        <v>295</v>
      </c>
      <c r="K43" s="82"/>
      <c r="L43" s="69"/>
    </row>
    <row r="44" spans="1:12" s="38" customFormat="1" ht="27.95" customHeight="1" thickBot="1">
      <c r="A44" s="224" t="s">
        <v>61</v>
      </c>
      <c r="B44" s="224"/>
      <c r="C44" s="224"/>
      <c r="D44" s="224"/>
      <c r="E44" s="224"/>
      <c r="F44" s="92">
        <f>SUM(G44:J44)</f>
        <v>382170</v>
      </c>
      <c r="G44" s="92">
        <f>SUM(G45:G49)</f>
        <v>151260</v>
      </c>
      <c r="H44" s="92">
        <f t="shared" ref="H44:I44" si="3">SUM(H45:H49)</f>
        <v>0</v>
      </c>
      <c r="I44" s="92">
        <f t="shared" si="3"/>
        <v>0</v>
      </c>
      <c r="J44" s="100">
        <f>400000+100000+50000-50000+130910-400000</f>
        <v>230910</v>
      </c>
      <c r="K44" s="108"/>
      <c r="L44" s="189"/>
    </row>
    <row r="45" spans="1:12" s="34" customFormat="1" ht="39" customHeight="1" thickBot="1">
      <c r="A45" s="52" t="s">
        <v>145</v>
      </c>
      <c r="B45" s="52">
        <v>600</v>
      </c>
      <c r="C45" s="52">
        <v>60014</v>
      </c>
      <c r="D45" s="52">
        <v>6050</v>
      </c>
      <c r="E45" s="147" t="s">
        <v>127</v>
      </c>
      <c r="F45" s="55">
        <v>100000</v>
      </c>
      <c r="G45" s="56">
        <v>0</v>
      </c>
      <c r="H45" s="56"/>
      <c r="I45" s="57"/>
      <c r="J45" s="58" t="s">
        <v>295</v>
      </c>
      <c r="K45" s="62"/>
      <c r="L45" s="98" t="s">
        <v>48</v>
      </c>
    </row>
    <row r="46" spans="1:12" s="34" customFormat="1" ht="39" customHeight="1" thickBot="1">
      <c r="A46" s="52" t="s">
        <v>146</v>
      </c>
      <c r="B46" s="52">
        <v>600</v>
      </c>
      <c r="C46" s="52">
        <v>60014</v>
      </c>
      <c r="D46" s="52">
        <v>6050</v>
      </c>
      <c r="E46" s="156" t="s">
        <v>128</v>
      </c>
      <c r="F46" s="55">
        <f>G46</f>
        <v>101260</v>
      </c>
      <c r="G46" s="56">
        <f>100000+1260</f>
        <v>101260</v>
      </c>
      <c r="H46" s="56"/>
      <c r="I46" s="57"/>
      <c r="J46" s="58" t="s">
        <v>272</v>
      </c>
      <c r="K46" s="62"/>
      <c r="L46" s="69"/>
    </row>
    <row r="47" spans="1:12" s="34" customFormat="1" ht="51.75" customHeight="1" thickBot="1">
      <c r="A47" s="52" t="s">
        <v>147</v>
      </c>
      <c r="B47" s="52">
        <v>600</v>
      </c>
      <c r="C47" s="52">
        <v>60014</v>
      </c>
      <c r="D47" s="52">
        <v>6050</v>
      </c>
      <c r="E47" s="63" t="s">
        <v>243</v>
      </c>
      <c r="F47" s="55">
        <f>G47+130910</f>
        <v>180910</v>
      </c>
      <c r="G47" s="56">
        <v>50000</v>
      </c>
      <c r="H47" s="56"/>
      <c r="I47" s="57"/>
      <c r="J47" s="58" t="s">
        <v>409</v>
      </c>
      <c r="K47" s="62"/>
      <c r="L47" s="69"/>
    </row>
    <row r="48" spans="1:12" s="34" customFormat="1" ht="36.75" customHeight="1" thickBot="1">
      <c r="A48" s="122" t="s">
        <v>148</v>
      </c>
      <c r="B48" s="122">
        <v>600</v>
      </c>
      <c r="C48" s="122">
        <v>60014</v>
      </c>
      <c r="D48" s="122">
        <v>6050</v>
      </c>
      <c r="E48" s="151" t="s">
        <v>258</v>
      </c>
      <c r="F48" s="152">
        <v>0</v>
      </c>
      <c r="G48" s="153"/>
      <c r="H48" s="153"/>
      <c r="I48" s="154"/>
      <c r="J48" s="135" t="s">
        <v>272</v>
      </c>
      <c r="K48" s="155"/>
      <c r="L48" s="203" t="s">
        <v>48</v>
      </c>
    </row>
    <row r="49" spans="1:12" s="34" customFormat="1" ht="39" customHeight="1" thickBot="1">
      <c r="A49" s="122" t="s">
        <v>149</v>
      </c>
      <c r="B49" s="122">
        <v>600</v>
      </c>
      <c r="C49" s="122">
        <v>60014</v>
      </c>
      <c r="D49" s="122">
        <v>6050</v>
      </c>
      <c r="E49" s="204" t="s">
        <v>259</v>
      </c>
      <c r="F49" s="152">
        <v>0</v>
      </c>
      <c r="G49" s="153"/>
      <c r="H49" s="153"/>
      <c r="I49" s="154"/>
      <c r="J49" s="135" t="s">
        <v>272</v>
      </c>
      <c r="K49" s="155"/>
      <c r="L49" s="203" t="s">
        <v>48</v>
      </c>
    </row>
    <row r="50" spans="1:12" s="34" customFormat="1" ht="27.95" customHeight="1" thickBot="1">
      <c r="A50" s="224" t="s">
        <v>60</v>
      </c>
      <c r="B50" s="224"/>
      <c r="C50" s="224"/>
      <c r="D50" s="224"/>
      <c r="E50" s="224"/>
      <c r="F50" s="92">
        <f>SUM(G50:J50)</f>
        <v>824396</v>
      </c>
      <c r="G50" s="92">
        <f>SUM(G51:G60)</f>
        <v>207710</v>
      </c>
      <c r="H50" s="92">
        <f t="shared" ref="H50:I50" si="4">SUM(H51:H60)</f>
        <v>0</v>
      </c>
      <c r="I50" s="92">
        <f t="shared" si="4"/>
        <v>0</v>
      </c>
      <c r="J50" s="100">
        <f>60000+20000+20000+100000+100000+150000+40000+148000-30000+40000+99621+19065-150000</f>
        <v>616686</v>
      </c>
      <c r="K50" s="101"/>
      <c r="L50" s="109"/>
    </row>
    <row r="51" spans="1:12" s="34" customFormat="1" ht="51" customHeight="1" thickBot="1">
      <c r="A51" s="52" t="s">
        <v>150</v>
      </c>
      <c r="B51" s="53">
        <v>600</v>
      </c>
      <c r="C51" s="53">
        <v>60014</v>
      </c>
      <c r="D51" s="53">
        <v>6050</v>
      </c>
      <c r="E51" s="63" t="s">
        <v>92</v>
      </c>
      <c r="F51" s="55">
        <f>G51</f>
        <v>0</v>
      </c>
      <c r="G51" s="56">
        <f>338000-150000-188000</f>
        <v>0</v>
      </c>
      <c r="H51" s="60"/>
      <c r="I51" s="61"/>
      <c r="J51" s="58" t="s">
        <v>268</v>
      </c>
      <c r="K51" s="62"/>
      <c r="L51" s="98" t="s">
        <v>48</v>
      </c>
    </row>
    <row r="52" spans="1:12" s="34" customFormat="1" ht="40.5" customHeight="1" thickBot="1">
      <c r="A52" s="52" t="s">
        <v>151</v>
      </c>
      <c r="B52" s="53">
        <v>600</v>
      </c>
      <c r="C52" s="53">
        <v>60014</v>
      </c>
      <c r="D52" s="53">
        <v>6050</v>
      </c>
      <c r="E52" s="111" t="s">
        <v>91</v>
      </c>
      <c r="F52" s="55">
        <f>70000-10000</f>
        <v>60000</v>
      </c>
      <c r="G52" s="56"/>
      <c r="H52" s="60"/>
      <c r="I52" s="61"/>
      <c r="J52" s="58" t="s">
        <v>384</v>
      </c>
      <c r="K52" s="62"/>
      <c r="L52" s="98" t="s">
        <v>48</v>
      </c>
    </row>
    <row r="53" spans="1:12" s="34" customFormat="1" ht="50.25" customHeight="1" thickBot="1">
      <c r="A53" s="52" t="s">
        <v>152</v>
      </c>
      <c r="B53" s="53">
        <v>600</v>
      </c>
      <c r="C53" s="53">
        <v>60014</v>
      </c>
      <c r="D53" s="53">
        <v>6050</v>
      </c>
      <c r="E53" s="148" t="s">
        <v>286</v>
      </c>
      <c r="F53" s="55">
        <f>G53+20000+19065</f>
        <v>123615</v>
      </c>
      <c r="G53" s="56">
        <f>80000+4550</f>
        <v>84550</v>
      </c>
      <c r="H53" s="60"/>
      <c r="I53" s="61"/>
      <c r="J53" s="58" t="s">
        <v>410</v>
      </c>
      <c r="K53" s="62"/>
      <c r="L53" s="69"/>
    </row>
    <row r="54" spans="1:12" s="34" customFormat="1" ht="57" customHeight="1" thickBot="1">
      <c r="A54" s="52" t="s">
        <v>154</v>
      </c>
      <c r="B54" s="53">
        <v>600</v>
      </c>
      <c r="C54" s="53">
        <v>60014</v>
      </c>
      <c r="D54" s="53">
        <v>6050</v>
      </c>
      <c r="E54" s="148" t="s">
        <v>246</v>
      </c>
      <c r="F54" s="55">
        <f>G54+20000</f>
        <v>113160</v>
      </c>
      <c r="G54" s="56">
        <f>80000+13160</f>
        <v>93160</v>
      </c>
      <c r="H54" s="60"/>
      <c r="I54" s="61"/>
      <c r="J54" s="58" t="s">
        <v>129</v>
      </c>
      <c r="K54" s="62"/>
      <c r="L54" s="69"/>
    </row>
    <row r="55" spans="1:12" s="34" customFormat="1" ht="47.25" customHeight="1" thickBot="1">
      <c r="A55" s="52" t="s">
        <v>155</v>
      </c>
      <c r="B55" s="53">
        <v>600</v>
      </c>
      <c r="C55" s="53">
        <v>60014</v>
      </c>
      <c r="D55" s="53">
        <v>6050</v>
      </c>
      <c r="E55" s="149" t="s">
        <v>307</v>
      </c>
      <c r="F55" s="55">
        <f>G55</f>
        <v>0</v>
      </c>
      <c r="G55" s="56">
        <v>0</v>
      </c>
      <c r="H55" s="60"/>
      <c r="I55" s="61"/>
      <c r="J55" s="58"/>
      <c r="K55" s="58"/>
      <c r="L55" s="69"/>
    </row>
    <row r="56" spans="1:12" s="34" customFormat="1" ht="29.25" customHeight="1" thickBot="1">
      <c r="A56" s="52" t="s">
        <v>156</v>
      </c>
      <c r="B56" s="53">
        <v>600</v>
      </c>
      <c r="C56" s="53">
        <v>60014</v>
      </c>
      <c r="D56" s="53">
        <v>6050</v>
      </c>
      <c r="E56" s="111" t="s">
        <v>130</v>
      </c>
      <c r="F56" s="55">
        <f>G56+70000</f>
        <v>100000</v>
      </c>
      <c r="G56" s="56">
        <v>30000</v>
      </c>
      <c r="H56" s="60"/>
      <c r="I56" s="61"/>
      <c r="J56" s="58" t="s">
        <v>293</v>
      </c>
      <c r="K56" s="62"/>
      <c r="L56" s="98" t="s">
        <v>48</v>
      </c>
    </row>
    <row r="57" spans="1:12" s="34" customFormat="1" ht="36.75" customHeight="1" thickBot="1">
      <c r="A57" s="52" t="s">
        <v>157</v>
      </c>
      <c r="B57" s="53">
        <v>600</v>
      </c>
      <c r="C57" s="53">
        <v>60014</v>
      </c>
      <c r="D57" s="53">
        <v>6050</v>
      </c>
      <c r="E57" s="111" t="s">
        <v>299</v>
      </c>
      <c r="F57" s="55">
        <v>100000</v>
      </c>
      <c r="G57" s="56">
        <v>0</v>
      </c>
      <c r="H57" s="60"/>
      <c r="I57" s="61"/>
      <c r="J57" s="58" t="s">
        <v>295</v>
      </c>
      <c r="K57" s="62"/>
      <c r="L57" s="69"/>
    </row>
    <row r="58" spans="1:12" s="34" customFormat="1" ht="36.75" customHeight="1" thickBot="1">
      <c r="A58" s="52" t="s">
        <v>158</v>
      </c>
      <c r="B58" s="53">
        <v>600</v>
      </c>
      <c r="C58" s="53">
        <v>60014</v>
      </c>
      <c r="D58" s="53">
        <v>6050</v>
      </c>
      <c r="E58" s="185" t="s">
        <v>275</v>
      </c>
      <c r="F58" s="55">
        <v>0</v>
      </c>
      <c r="G58" s="56"/>
      <c r="H58" s="60"/>
      <c r="I58" s="61"/>
      <c r="J58" s="58" t="s">
        <v>304</v>
      </c>
      <c r="K58" s="62"/>
      <c r="L58" s="69"/>
    </row>
    <row r="59" spans="1:12" s="34" customFormat="1" ht="45.75" customHeight="1" thickBot="1">
      <c r="A59" s="52" t="s">
        <v>159</v>
      </c>
      <c r="B59" s="150">
        <v>600</v>
      </c>
      <c r="C59" s="150">
        <v>60014</v>
      </c>
      <c r="D59" s="150">
        <v>6050</v>
      </c>
      <c r="E59" s="151" t="s">
        <v>385</v>
      </c>
      <c r="F59" s="152">
        <f>40000+40000+99621</f>
        <v>179621</v>
      </c>
      <c r="G59" s="153">
        <v>0</v>
      </c>
      <c r="H59" s="153"/>
      <c r="I59" s="154"/>
      <c r="J59" s="135" t="s">
        <v>368</v>
      </c>
      <c r="K59" s="155"/>
      <c r="L59" s="69"/>
    </row>
    <row r="60" spans="1:12" s="34" customFormat="1" ht="52.5" customHeight="1" thickBot="1">
      <c r="A60" s="52" t="s">
        <v>160</v>
      </c>
      <c r="B60" s="150">
        <v>600</v>
      </c>
      <c r="C60" s="150">
        <v>60014</v>
      </c>
      <c r="D60" s="150">
        <v>6050</v>
      </c>
      <c r="E60" s="151" t="s">
        <v>276</v>
      </c>
      <c r="F60" s="152">
        <v>148000</v>
      </c>
      <c r="G60" s="153">
        <v>0</v>
      </c>
      <c r="H60" s="153"/>
      <c r="I60" s="154"/>
      <c r="J60" s="135" t="s">
        <v>296</v>
      </c>
      <c r="K60" s="155"/>
      <c r="L60" s="69"/>
    </row>
    <row r="61" spans="1:12" s="47" customFormat="1" ht="27.95" customHeight="1" thickBot="1">
      <c r="A61" s="228"/>
      <c r="B61" s="229"/>
      <c r="C61" s="229"/>
      <c r="D61" s="229"/>
      <c r="E61" s="230"/>
      <c r="F61" s="92">
        <f>SUM(G61:J61)</f>
        <v>729650</v>
      </c>
      <c r="G61" s="92">
        <f>SUM(G62:G65)</f>
        <v>729650</v>
      </c>
      <c r="H61" s="92">
        <f t="shared" ref="H61:I61" si="5">SUM(H62:H65)</f>
        <v>0</v>
      </c>
      <c r="I61" s="92">
        <f t="shared" si="5"/>
        <v>0</v>
      </c>
      <c r="J61" s="92">
        <f t="shared" ref="J61" si="6">SUM(J63:J65)</f>
        <v>0</v>
      </c>
      <c r="K61" s="101"/>
      <c r="L61" s="112"/>
    </row>
    <row r="62" spans="1:12" s="41" customFormat="1" ht="35.25" customHeight="1" thickBot="1">
      <c r="A62" s="52" t="s">
        <v>161</v>
      </c>
      <c r="B62" s="53">
        <v>600</v>
      </c>
      <c r="C62" s="53">
        <v>60014</v>
      </c>
      <c r="D62" s="53">
        <v>6050</v>
      </c>
      <c r="E62" s="63" t="s">
        <v>287</v>
      </c>
      <c r="F62" s="55">
        <f>SUM(G62:H62)</f>
        <v>54650</v>
      </c>
      <c r="G62" s="55">
        <v>54650</v>
      </c>
      <c r="H62" s="55"/>
      <c r="I62" s="55"/>
      <c r="J62" s="55"/>
      <c r="K62" s="62"/>
      <c r="L62" s="89" t="s">
        <v>48</v>
      </c>
    </row>
    <row r="63" spans="1:12" s="38" customFormat="1" ht="27" customHeight="1" thickBot="1">
      <c r="A63" s="52" t="s">
        <v>162</v>
      </c>
      <c r="B63" s="113">
        <v>600</v>
      </c>
      <c r="C63" s="113">
        <v>60014</v>
      </c>
      <c r="D63" s="113">
        <v>6060</v>
      </c>
      <c r="E63" s="114" t="s">
        <v>59</v>
      </c>
      <c r="F63" s="110">
        <f>SUM(G63:H63)</f>
        <v>150000</v>
      </c>
      <c r="G63" s="110">
        <v>150000</v>
      </c>
      <c r="H63" s="115"/>
      <c r="I63" s="116"/>
      <c r="J63" s="116"/>
      <c r="K63" s="117"/>
      <c r="L63" s="190"/>
    </row>
    <row r="64" spans="1:12" s="38" customFormat="1" ht="39" customHeight="1" thickBot="1">
      <c r="A64" s="52" t="s">
        <v>163</v>
      </c>
      <c r="B64" s="77">
        <v>600</v>
      </c>
      <c r="C64" s="77">
        <v>60014</v>
      </c>
      <c r="D64" s="77">
        <v>6060</v>
      </c>
      <c r="E64" s="78" t="s">
        <v>153</v>
      </c>
      <c r="F64" s="79">
        <f>G64</f>
        <v>25000</v>
      </c>
      <c r="G64" s="79">
        <v>25000</v>
      </c>
      <c r="H64" s="85"/>
      <c r="I64" s="80"/>
      <c r="J64" s="80"/>
      <c r="K64" s="82"/>
      <c r="L64" s="191"/>
    </row>
    <row r="65" spans="1:15" s="38" customFormat="1" ht="91.5" customHeight="1" thickBot="1">
      <c r="A65" s="52" t="s">
        <v>164</v>
      </c>
      <c r="B65" s="77">
        <v>600</v>
      </c>
      <c r="C65" s="77">
        <v>60014</v>
      </c>
      <c r="D65" s="77">
        <v>6610</v>
      </c>
      <c r="E65" s="84" t="s">
        <v>175</v>
      </c>
      <c r="F65" s="79">
        <f>SUM(G65:H65)</f>
        <v>500000</v>
      </c>
      <c r="G65" s="79">
        <v>500000</v>
      </c>
      <c r="H65" s="79"/>
      <c r="I65" s="80"/>
      <c r="J65" s="80"/>
      <c r="K65" s="82"/>
      <c r="L65" s="89" t="s">
        <v>48</v>
      </c>
    </row>
    <row r="66" spans="1:15" s="45" customFormat="1" ht="35.1" customHeight="1" thickBot="1">
      <c r="A66" s="221" t="s">
        <v>58</v>
      </c>
      <c r="B66" s="221"/>
      <c r="C66" s="221"/>
      <c r="D66" s="221"/>
      <c r="E66" s="221"/>
      <c r="F66" s="64">
        <f>SUM(F7,F12,F19,F25,F32,F38,F44,F50,F61)</f>
        <v>13271589</v>
      </c>
      <c r="G66" s="64">
        <f>SUM(G7,G12,G19,G25,G32,G38,G44,G50,G61)</f>
        <v>2957236</v>
      </c>
      <c r="H66" s="64">
        <f>SUM(H7,H12,H19,H25,H32,H38,H44,H50,H61)</f>
        <v>2187119</v>
      </c>
      <c r="I66" s="64">
        <f>SUM(I7,I12,I19,I25,I32,I38,I44,I50,I61)</f>
        <v>0</v>
      </c>
      <c r="J66" s="64">
        <f>SUM(J7,J12,J19,J25,J32,J38,J44,J50,J61)</f>
        <v>8127234</v>
      </c>
      <c r="K66" s="66"/>
      <c r="L66" s="118"/>
      <c r="N66" s="164"/>
      <c r="O66" s="164"/>
    </row>
    <row r="67" spans="1:15" s="34" customFormat="1" ht="28.5" customHeight="1" thickBot="1">
      <c r="A67" s="53" t="s">
        <v>165</v>
      </c>
      <c r="B67" s="53">
        <v>710</v>
      </c>
      <c r="C67" s="53">
        <v>71012</v>
      </c>
      <c r="D67" s="53">
        <v>6060</v>
      </c>
      <c r="E67" s="57" t="s">
        <v>84</v>
      </c>
      <c r="F67" s="55">
        <f>G67</f>
        <v>0</v>
      </c>
      <c r="G67" s="55">
        <v>0</v>
      </c>
      <c r="H67" s="55"/>
      <c r="I67" s="57"/>
      <c r="J67" s="57"/>
      <c r="K67" s="59"/>
      <c r="L67" s="202"/>
    </row>
    <row r="68" spans="1:15" s="34" customFormat="1" ht="35.1" customHeight="1" thickBot="1">
      <c r="A68" s="221" t="s">
        <v>83</v>
      </c>
      <c r="B68" s="221"/>
      <c r="C68" s="221"/>
      <c r="D68" s="221"/>
      <c r="E68" s="221"/>
      <c r="F68" s="64">
        <f>SUM(F67:F67)</f>
        <v>0</v>
      </c>
      <c r="G68" s="64">
        <f>SUM(G67:G67)</f>
        <v>0</v>
      </c>
      <c r="H68" s="64">
        <f>H67</f>
        <v>0</v>
      </c>
      <c r="I68" s="64"/>
      <c r="J68" s="64"/>
      <c r="K68" s="66"/>
      <c r="L68" s="119"/>
    </row>
    <row r="69" spans="1:15" s="34" customFormat="1" ht="45" customHeight="1" thickBot="1">
      <c r="A69" s="53" t="s">
        <v>166</v>
      </c>
      <c r="B69" s="53">
        <v>710</v>
      </c>
      <c r="C69" s="53">
        <v>71095</v>
      </c>
      <c r="D69" s="53">
        <v>6639</v>
      </c>
      <c r="E69" s="63" t="s">
        <v>247</v>
      </c>
      <c r="F69" s="55">
        <f>G69</f>
        <v>13255</v>
      </c>
      <c r="G69" s="55">
        <f>22770-14800+5285</f>
        <v>13255</v>
      </c>
      <c r="H69" s="55"/>
      <c r="I69" s="55"/>
      <c r="J69" s="55"/>
      <c r="K69" s="59"/>
      <c r="L69" s="119"/>
    </row>
    <row r="70" spans="1:15" s="34" customFormat="1" ht="35.1" customHeight="1" thickBot="1">
      <c r="A70" s="218" t="s">
        <v>248</v>
      </c>
      <c r="B70" s="219"/>
      <c r="C70" s="219"/>
      <c r="D70" s="219"/>
      <c r="E70" s="220"/>
      <c r="F70" s="64">
        <f>SUM(F69)</f>
        <v>13255</v>
      </c>
      <c r="G70" s="64">
        <f>SUM(G69)</f>
        <v>13255</v>
      </c>
      <c r="H70" s="64"/>
      <c r="I70" s="64"/>
      <c r="J70" s="64"/>
      <c r="K70" s="66"/>
      <c r="L70" s="119"/>
    </row>
    <row r="71" spans="1:15" s="41" customFormat="1" ht="51" customHeight="1" thickBot="1">
      <c r="A71" s="53" t="s">
        <v>167</v>
      </c>
      <c r="B71" s="53">
        <v>750</v>
      </c>
      <c r="C71" s="53">
        <v>75020</v>
      </c>
      <c r="D71" s="53">
        <v>6050</v>
      </c>
      <c r="E71" s="63" t="s">
        <v>57</v>
      </c>
      <c r="F71" s="55">
        <f>G71</f>
        <v>164715</v>
      </c>
      <c r="G71" s="55">
        <f>772000-272000-310000-5285-20000</f>
        <v>164715</v>
      </c>
      <c r="H71" s="55"/>
      <c r="I71" s="57"/>
      <c r="J71" s="57"/>
      <c r="K71" s="62"/>
      <c r="L71" s="201" t="s">
        <v>48</v>
      </c>
    </row>
    <row r="72" spans="1:15" s="41" customFormat="1" ht="46.9" customHeight="1" thickBot="1">
      <c r="A72" s="53" t="s">
        <v>168</v>
      </c>
      <c r="B72" s="53">
        <v>750</v>
      </c>
      <c r="C72" s="53">
        <v>75020</v>
      </c>
      <c r="D72" s="53">
        <v>6050</v>
      </c>
      <c r="E72" s="63" t="s">
        <v>131</v>
      </c>
      <c r="F72" s="55">
        <f>G72</f>
        <v>36000</v>
      </c>
      <c r="G72" s="55">
        <f>50000-14000</f>
        <v>36000</v>
      </c>
      <c r="H72" s="55"/>
      <c r="I72" s="57"/>
      <c r="J72" s="57"/>
      <c r="K72" s="62"/>
      <c r="L72" s="201"/>
    </row>
    <row r="73" spans="1:15" s="41" customFormat="1" ht="46.9" customHeight="1" thickBot="1">
      <c r="A73" s="53" t="s">
        <v>169</v>
      </c>
      <c r="B73" s="53">
        <v>750</v>
      </c>
      <c r="C73" s="53">
        <v>75020</v>
      </c>
      <c r="D73" s="53">
        <v>6050</v>
      </c>
      <c r="E73" s="63" t="s">
        <v>285</v>
      </c>
      <c r="F73" s="55">
        <f>G73</f>
        <v>20000</v>
      </c>
      <c r="G73" s="55">
        <f>100000-80000</f>
        <v>20000</v>
      </c>
      <c r="H73" s="55"/>
      <c r="I73" s="57"/>
      <c r="J73" s="57"/>
      <c r="K73" s="59" t="s">
        <v>284</v>
      </c>
      <c r="L73" s="201"/>
    </row>
    <row r="74" spans="1:15" s="44" customFormat="1" ht="35.25" customHeight="1" thickBot="1">
      <c r="A74" s="221" t="s">
        <v>56</v>
      </c>
      <c r="B74" s="221"/>
      <c r="C74" s="221"/>
      <c r="D74" s="221"/>
      <c r="E74" s="221"/>
      <c r="F74" s="64">
        <f>SUM(F71:F73)</f>
        <v>220715</v>
      </c>
      <c r="G74" s="64">
        <f>SUM(G71:G73)</f>
        <v>220715</v>
      </c>
      <c r="H74" s="64">
        <f>SUM(H71:H71)</f>
        <v>0</v>
      </c>
      <c r="I74" s="65"/>
      <c r="J74" s="65"/>
      <c r="K74" s="66"/>
      <c r="L74" s="121"/>
    </row>
    <row r="75" spans="1:15" s="34" customFormat="1" ht="51.75" customHeight="1" thickBot="1">
      <c r="A75" s="52" t="s">
        <v>170</v>
      </c>
      <c r="B75" s="53">
        <v>754</v>
      </c>
      <c r="C75" s="53">
        <v>75404</v>
      </c>
      <c r="D75" s="53">
        <v>6170</v>
      </c>
      <c r="E75" s="57" t="s">
        <v>80</v>
      </c>
      <c r="F75" s="55">
        <f>SUM(G75:H75)</f>
        <v>50000</v>
      </c>
      <c r="G75" s="55">
        <f>45000+5000</f>
        <v>50000</v>
      </c>
      <c r="H75" s="55"/>
      <c r="I75" s="57"/>
      <c r="J75" s="57"/>
      <c r="K75" s="59"/>
      <c r="L75" s="67"/>
    </row>
    <row r="76" spans="1:15" s="34" customFormat="1" ht="42" customHeight="1" thickBot="1">
      <c r="A76" s="52" t="s">
        <v>244</v>
      </c>
      <c r="B76" s="53">
        <v>754</v>
      </c>
      <c r="C76" s="53">
        <v>75404</v>
      </c>
      <c r="D76" s="53">
        <v>6170</v>
      </c>
      <c r="E76" s="57" t="s">
        <v>88</v>
      </c>
      <c r="F76" s="55">
        <f>SUM(G76:H76)</f>
        <v>131610</v>
      </c>
      <c r="G76" s="55">
        <f>350000-218390</f>
        <v>131610</v>
      </c>
      <c r="H76" s="55"/>
      <c r="I76" s="57"/>
      <c r="J76" s="57"/>
      <c r="K76" s="59"/>
      <c r="L76" s="67"/>
    </row>
    <row r="77" spans="1:15" s="34" customFormat="1" ht="42" customHeight="1" thickBot="1">
      <c r="A77" s="52" t="s">
        <v>245</v>
      </c>
      <c r="B77" s="53">
        <v>754</v>
      </c>
      <c r="C77" s="53">
        <v>75404</v>
      </c>
      <c r="D77" s="53">
        <v>6170</v>
      </c>
      <c r="E77" s="57" t="s">
        <v>369</v>
      </c>
      <c r="F77" s="55">
        <f t="shared" ref="F77:F82" si="7">SUM(G77:H77)</f>
        <v>50754</v>
      </c>
      <c r="G77" s="55">
        <v>50754</v>
      </c>
      <c r="H77" s="55"/>
      <c r="I77" s="57"/>
      <c r="J77" s="57"/>
      <c r="K77" s="59"/>
      <c r="L77" s="67"/>
    </row>
    <row r="78" spans="1:15" s="34" customFormat="1" ht="42" customHeight="1" thickBot="1">
      <c r="A78" s="52" t="s">
        <v>249</v>
      </c>
      <c r="B78" s="53">
        <v>754</v>
      </c>
      <c r="C78" s="53">
        <v>75404</v>
      </c>
      <c r="D78" s="53">
        <v>6170</v>
      </c>
      <c r="E78" s="57" t="s">
        <v>378</v>
      </c>
      <c r="F78" s="55">
        <f t="shared" si="7"/>
        <v>60000</v>
      </c>
      <c r="G78" s="55">
        <v>60000</v>
      </c>
      <c r="H78" s="55"/>
      <c r="I78" s="57"/>
      <c r="J78" s="57"/>
      <c r="K78" s="59"/>
      <c r="L78" s="67"/>
    </row>
    <row r="79" spans="1:15" s="34" customFormat="1" ht="42" customHeight="1" thickBot="1">
      <c r="A79" s="52" t="s">
        <v>254</v>
      </c>
      <c r="B79" s="53">
        <v>754</v>
      </c>
      <c r="C79" s="53">
        <v>75404</v>
      </c>
      <c r="D79" s="53">
        <v>6170</v>
      </c>
      <c r="E79" s="57" t="s">
        <v>370</v>
      </c>
      <c r="F79" s="55">
        <f t="shared" si="7"/>
        <v>25000</v>
      </c>
      <c r="G79" s="55">
        <v>25000</v>
      </c>
      <c r="H79" s="55"/>
      <c r="I79" s="57"/>
      <c r="J79" s="57"/>
      <c r="K79" s="59"/>
      <c r="L79" s="67"/>
    </row>
    <row r="80" spans="1:15" s="34" customFormat="1" ht="42" customHeight="1" thickBot="1">
      <c r="A80" s="52" t="s">
        <v>260</v>
      </c>
      <c r="B80" s="53">
        <v>754</v>
      </c>
      <c r="C80" s="53">
        <v>75404</v>
      </c>
      <c r="D80" s="53">
        <v>6170</v>
      </c>
      <c r="E80" s="57" t="s">
        <v>371</v>
      </c>
      <c r="F80" s="55">
        <f t="shared" si="7"/>
        <v>75000</v>
      </c>
      <c r="G80" s="55">
        <v>75000</v>
      </c>
      <c r="H80" s="55"/>
      <c r="I80" s="57"/>
      <c r="J80" s="57"/>
      <c r="K80" s="59"/>
      <c r="L80" s="67"/>
    </row>
    <row r="81" spans="1:12" s="34" customFormat="1" ht="42" customHeight="1" thickBot="1">
      <c r="A81" s="52" t="s">
        <v>261</v>
      </c>
      <c r="B81" s="53">
        <v>754</v>
      </c>
      <c r="C81" s="53">
        <v>75404</v>
      </c>
      <c r="D81" s="53">
        <v>6170</v>
      </c>
      <c r="E81" s="57" t="s">
        <v>372</v>
      </c>
      <c r="F81" s="55">
        <v>0</v>
      </c>
      <c r="G81" s="55">
        <v>0</v>
      </c>
      <c r="H81" s="55"/>
      <c r="I81" s="57"/>
      <c r="J81" s="57"/>
      <c r="K81" s="59"/>
      <c r="L81" s="67"/>
    </row>
    <row r="82" spans="1:12" s="44" customFormat="1" ht="42" customHeight="1" thickBot="1">
      <c r="A82" s="52" t="s">
        <v>262</v>
      </c>
      <c r="B82" s="53">
        <v>754</v>
      </c>
      <c r="C82" s="53">
        <v>75404</v>
      </c>
      <c r="D82" s="53">
        <v>6170</v>
      </c>
      <c r="E82" s="57" t="s">
        <v>174</v>
      </c>
      <c r="F82" s="55">
        <f t="shared" si="7"/>
        <v>8000</v>
      </c>
      <c r="G82" s="55">
        <v>8000</v>
      </c>
      <c r="H82" s="55"/>
      <c r="I82" s="57"/>
      <c r="J82" s="57"/>
      <c r="K82" s="59"/>
      <c r="L82" s="67"/>
    </row>
    <row r="83" spans="1:12" s="44" customFormat="1" ht="35.1" customHeight="1" thickBot="1">
      <c r="A83" s="221" t="s">
        <v>55</v>
      </c>
      <c r="B83" s="221"/>
      <c r="C83" s="221"/>
      <c r="D83" s="221"/>
      <c r="E83" s="221"/>
      <c r="F83" s="64">
        <f>SUM(F75:F82)</f>
        <v>400364</v>
      </c>
      <c r="G83" s="64">
        <f>SUM(G75:G82)</f>
        <v>400364</v>
      </c>
      <c r="H83" s="64">
        <f>SUM(H75:H76)</f>
        <v>0</v>
      </c>
      <c r="I83" s="65"/>
      <c r="J83" s="65"/>
      <c r="K83" s="66"/>
      <c r="L83" s="121"/>
    </row>
    <row r="84" spans="1:12" s="34" customFormat="1" ht="35.1" customHeight="1" thickBot="1">
      <c r="A84" s="53" t="s">
        <v>273</v>
      </c>
      <c r="B84" s="53">
        <v>754</v>
      </c>
      <c r="C84" s="53">
        <v>75411</v>
      </c>
      <c r="D84" s="53">
        <v>6060</v>
      </c>
      <c r="E84" s="63" t="s">
        <v>386</v>
      </c>
      <c r="F84" s="55">
        <v>35000</v>
      </c>
      <c r="G84" s="55">
        <v>0</v>
      </c>
      <c r="H84" s="55"/>
      <c r="I84" s="57"/>
      <c r="J84" s="58" t="s">
        <v>387</v>
      </c>
      <c r="K84" s="59"/>
      <c r="L84" s="67"/>
    </row>
    <row r="85" spans="1:12" s="34" customFormat="1" ht="35.1" customHeight="1" thickBot="1">
      <c r="A85" s="53" t="s">
        <v>274</v>
      </c>
      <c r="B85" s="53">
        <v>754</v>
      </c>
      <c r="C85" s="53">
        <v>75411</v>
      </c>
      <c r="D85" s="53">
        <v>6060</v>
      </c>
      <c r="E85" s="63" t="s">
        <v>388</v>
      </c>
      <c r="F85" s="55">
        <v>70000</v>
      </c>
      <c r="G85" s="55">
        <v>0</v>
      </c>
      <c r="H85" s="55"/>
      <c r="I85" s="57"/>
      <c r="J85" s="58" t="s">
        <v>389</v>
      </c>
      <c r="K85" s="59"/>
      <c r="L85" s="67"/>
    </row>
    <row r="86" spans="1:12" s="44" customFormat="1" ht="35.1" customHeight="1" thickBot="1">
      <c r="A86" s="218" t="s">
        <v>390</v>
      </c>
      <c r="B86" s="219"/>
      <c r="C86" s="219"/>
      <c r="D86" s="219"/>
      <c r="E86" s="220"/>
      <c r="F86" s="64">
        <f>SUM(F84:F85)</f>
        <v>105000</v>
      </c>
      <c r="G86" s="64">
        <f>SUM(G84:G85)</f>
        <v>0</v>
      </c>
      <c r="H86" s="64"/>
      <c r="I86" s="65"/>
      <c r="J86" s="64">
        <v>105000</v>
      </c>
      <c r="K86" s="66"/>
      <c r="L86" s="121"/>
    </row>
    <row r="87" spans="1:12" s="130" customFormat="1" ht="34.5" customHeight="1" thickBot="1">
      <c r="A87" s="53" t="s">
        <v>277</v>
      </c>
      <c r="B87" s="53">
        <v>758</v>
      </c>
      <c r="C87" s="53">
        <v>75818</v>
      </c>
      <c r="D87" s="53">
        <v>6800</v>
      </c>
      <c r="E87" s="63" t="s">
        <v>93</v>
      </c>
      <c r="F87" s="55">
        <f>G87</f>
        <v>220454</v>
      </c>
      <c r="G87" s="55">
        <f>250000+167290-22770-5000-28350-17710-17931-50886-1260-52929</f>
        <v>220454</v>
      </c>
      <c r="H87" s="55"/>
      <c r="I87" s="57"/>
      <c r="J87" s="57"/>
      <c r="K87" s="59"/>
      <c r="L87" s="67"/>
    </row>
    <row r="88" spans="1:12" s="34" customFormat="1" ht="35.1" customHeight="1" thickBot="1">
      <c r="A88" s="221" t="s">
        <v>54</v>
      </c>
      <c r="B88" s="221"/>
      <c r="C88" s="221"/>
      <c r="D88" s="221"/>
      <c r="E88" s="221"/>
      <c r="F88" s="64">
        <f>SUM(F87)</f>
        <v>220454</v>
      </c>
      <c r="G88" s="64">
        <f>SUM(G87)</f>
        <v>220454</v>
      </c>
      <c r="H88" s="64">
        <f>SUM(H87)</f>
        <v>0</v>
      </c>
      <c r="I88" s="65"/>
      <c r="J88" s="65"/>
      <c r="K88" s="66"/>
      <c r="L88" s="51"/>
    </row>
    <row r="89" spans="1:12" s="41" customFormat="1" ht="37.5" customHeight="1" thickBot="1">
      <c r="A89" s="52" t="s">
        <v>279</v>
      </c>
      <c r="B89" s="53">
        <v>801</v>
      </c>
      <c r="C89" s="53">
        <v>80115</v>
      </c>
      <c r="D89" s="53">
        <v>6050</v>
      </c>
      <c r="E89" s="57" t="s">
        <v>53</v>
      </c>
      <c r="F89" s="55">
        <f>SUM(G89:H89)+2499564</f>
        <v>2499590</v>
      </c>
      <c r="G89" s="55">
        <v>26</v>
      </c>
      <c r="H89" s="55">
        <v>0</v>
      </c>
      <c r="I89" s="57"/>
      <c r="J89" s="58" t="s">
        <v>413</v>
      </c>
      <c r="K89" s="59"/>
      <c r="L89" s="201" t="s">
        <v>48</v>
      </c>
    </row>
    <row r="90" spans="1:12" s="44" customFormat="1" ht="35.1" customHeight="1" thickBot="1">
      <c r="A90" s="221" t="s">
        <v>52</v>
      </c>
      <c r="B90" s="221"/>
      <c r="C90" s="221"/>
      <c r="D90" s="221"/>
      <c r="E90" s="221"/>
      <c r="F90" s="64">
        <f>SUM(F89:F89)</f>
        <v>2499590</v>
      </c>
      <c r="G90" s="64">
        <f>SUM(G89:G89)</f>
        <v>26</v>
      </c>
      <c r="H90" s="64">
        <f>SUM(H89:H89)</f>
        <v>0</v>
      </c>
      <c r="I90" s="64">
        <f>SUM(I89:I89)</f>
        <v>0</v>
      </c>
      <c r="J90" s="64">
        <v>2499564</v>
      </c>
      <c r="K90" s="66"/>
      <c r="L90" s="121"/>
    </row>
    <row r="91" spans="1:12" s="41" customFormat="1" ht="33" customHeight="1" thickBot="1">
      <c r="A91" s="52" t="s">
        <v>288</v>
      </c>
      <c r="B91" s="53">
        <v>801</v>
      </c>
      <c r="C91" s="53">
        <v>80120</v>
      </c>
      <c r="D91" s="53">
        <v>6050</v>
      </c>
      <c r="E91" s="57" t="s">
        <v>393</v>
      </c>
      <c r="F91" s="55">
        <f>SUM(G91:H91)+700000</f>
        <v>1644000</v>
      </c>
      <c r="G91" s="55">
        <v>944000</v>
      </c>
      <c r="H91" s="55">
        <v>0</v>
      </c>
      <c r="I91" s="57"/>
      <c r="J91" s="58" t="s">
        <v>305</v>
      </c>
      <c r="K91" s="59"/>
      <c r="L91" s="120" t="s">
        <v>48</v>
      </c>
    </row>
    <row r="92" spans="1:12" s="41" customFormat="1" ht="33" customHeight="1" thickBot="1">
      <c r="A92" s="52" t="s">
        <v>373</v>
      </c>
      <c r="B92" s="53">
        <v>801</v>
      </c>
      <c r="C92" s="53">
        <v>80120</v>
      </c>
      <c r="D92" s="53">
        <v>6580</v>
      </c>
      <c r="E92" s="57" t="s">
        <v>81</v>
      </c>
      <c r="F92" s="55">
        <v>500000</v>
      </c>
      <c r="G92" s="55"/>
      <c r="H92" s="55">
        <v>0</v>
      </c>
      <c r="I92" s="57"/>
      <c r="J92" s="58" t="s">
        <v>297</v>
      </c>
      <c r="K92" s="59"/>
      <c r="L92" s="192"/>
    </row>
    <row r="93" spans="1:12" s="41" customFormat="1" ht="33" customHeight="1" thickBot="1">
      <c r="A93" s="52" t="s">
        <v>374</v>
      </c>
      <c r="B93" s="53">
        <v>801</v>
      </c>
      <c r="C93" s="53">
        <v>80120</v>
      </c>
      <c r="D93" s="53">
        <v>6580</v>
      </c>
      <c r="E93" s="57" t="s">
        <v>171</v>
      </c>
      <c r="F93" s="55">
        <f>SUM(G93:H93)</f>
        <v>0</v>
      </c>
      <c r="G93" s="55">
        <v>0</v>
      </c>
      <c r="H93" s="55"/>
      <c r="I93" s="57"/>
      <c r="J93" s="58"/>
      <c r="K93" s="59"/>
      <c r="L93" s="192"/>
    </row>
    <row r="94" spans="1:12" s="41" customFormat="1" ht="33" customHeight="1" thickBot="1">
      <c r="A94" s="52" t="s">
        <v>375</v>
      </c>
      <c r="B94" s="53">
        <v>801</v>
      </c>
      <c r="C94" s="53">
        <v>80120</v>
      </c>
      <c r="D94" s="53">
        <v>6580</v>
      </c>
      <c r="E94" s="57" t="s">
        <v>82</v>
      </c>
      <c r="F94" s="55">
        <v>200000</v>
      </c>
      <c r="G94" s="55">
        <v>0</v>
      </c>
      <c r="H94" s="55">
        <v>0</v>
      </c>
      <c r="I94" s="57"/>
      <c r="J94" s="58" t="s">
        <v>298</v>
      </c>
      <c r="K94" s="59"/>
      <c r="L94" s="192"/>
    </row>
    <row r="95" spans="1:12" s="42" customFormat="1" ht="35.1" customHeight="1" thickBot="1">
      <c r="A95" s="221" t="s">
        <v>51</v>
      </c>
      <c r="B95" s="221"/>
      <c r="C95" s="221"/>
      <c r="D95" s="221"/>
      <c r="E95" s="221"/>
      <c r="F95" s="64">
        <f>SUM(F91:F94)</f>
        <v>2344000</v>
      </c>
      <c r="G95" s="64">
        <f t="shared" ref="G95" si="8">SUM(G91:G94)</f>
        <v>944000</v>
      </c>
      <c r="H95" s="64">
        <f>SUM(H91:H94)</f>
        <v>0</v>
      </c>
      <c r="I95" s="65"/>
      <c r="J95" s="64">
        <f>500000+200000+700000</f>
        <v>1400000</v>
      </c>
      <c r="K95" s="66"/>
      <c r="L95" s="67"/>
    </row>
    <row r="96" spans="1:12" s="43" customFormat="1" ht="41.25" customHeight="1" thickBot="1">
      <c r="A96" s="200" t="s">
        <v>376</v>
      </c>
      <c r="B96" s="167">
        <v>851</v>
      </c>
      <c r="C96" s="167">
        <v>85111</v>
      </c>
      <c r="D96" s="167">
        <v>6010</v>
      </c>
      <c r="E96" s="168" t="s">
        <v>50</v>
      </c>
      <c r="F96" s="169">
        <f>SUM(G96:H96)</f>
        <v>12950850</v>
      </c>
      <c r="G96" s="169">
        <f>2440737-50000+180950+3515600-1379218+2429900</f>
        <v>7137969</v>
      </c>
      <c r="H96" s="169">
        <f>4383663+50000+1379218</f>
        <v>5812881</v>
      </c>
      <c r="I96" s="168"/>
      <c r="J96" s="168"/>
      <c r="K96" s="170"/>
      <c r="L96" s="199"/>
    </row>
    <row r="97" spans="1:14" s="41" customFormat="1" ht="41.25" customHeight="1" thickBot="1">
      <c r="A97" s="122" t="s">
        <v>377</v>
      </c>
      <c r="B97" s="53">
        <v>851</v>
      </c>
      <c r="C97" s="53">
        <v>85111</v>
      </c>
      <c r="D97" s="53">
        <v>6050</v>
      </c>
      <c r="E97" s="57" t="s">
        <v>402</v>
      </c>
      <c r="F97" s="55">
        <v>50000</v>
      </c>
      <c r="G97" s="55"/>
      <c r="H97" s="55"/>
      <c r="I97" s="61"/>
      <c r="J97" s="58" t="s">
        <v>403</v>
      </c>
      <c r="K97" s="62"/>
      <c r="L97" s="193"/>
    </row>
    <row r="98" spans="1:14" s="41" customFormat="1" ht="37.5" customHeight="1" thickBot="1">
      <c r="A98" s="122" t="s">
        <v>391</v>
      </c>
      <c r="B98" s="53">
        <v>851</v>
      </c>
      <c r="C98" s="53">
        <v>85111</v>
      </c>
      <c r="D98" s="53">
        <v>6230</v>
      </c>
      <c r="E98" s="57" t="s">
        <v>251</v>
      </c>
      <c r="F98" s="55">
        <f>SUM(G98:H98)</f>
        <v>0</v>
      </c>
      <c r="G98" s="55">
        <v>0</v>
      </c>
      <c r="H98" s="55">
        <v>0</v>
      </c>
      <c r="I98" s="61"/>
      <c r="J98" s="61"/>
      <c r="K98" s="62"/>
      <c r="L98" s="193"/>
    </row>
    <row r="99" spans="1:14" s="41" customFormat="1" ht="42.6" customHeight="1" thickBot="1">
      <c r="A99" s="52" t="s">
        <v>392</v>
      </c>
      <c r="B99" s="53">
        <v>851</v>
      </c>
      <c r="C99" s="141">
        <v>85111</v>
      </c>
      <c r="D99" s="141">
        <v>6230</v>
      </c>
      <c r="E99" s="57" t="s">
        <v>253</v>
      </c>
      <c r="F99" s="55">
        <f t="shared" ref="F99:F100" si="9">SUM(G99:H99)</f>
        <v>527000</v>
      </c>
      <c r="G99" s="55">
        <f>527000</f>
        <v>527000</v>
      </c>
      <c r="H99" s="55"/>
      <c r="I99" s="57"/>
      <c r="J99" s="58" t="s">
        <v>304</v>
      </c>
      <c r="K99" s="59"/>
      <c r="L99" s="67"/>
    </row>
    <row r="100" spans="1:14" s="41" customFormat="1" ht="51.75" customHeight="1" thickBot="1">
      <c r="A100" s="52" t="s">
        <v>396</v>
      </c>
      <c r="B100" s="53">
        <v>851</v>
      </c>
      <c r="C100" s="53">
        <v>85111</v>
      </c>
      <c r="D100" s="53">
        <v>6030</v>
      </c>
      <c r="E100" s="182" t="s">
        <v>252</v>
      </c>
      <c r="F100" s="55">
        <f t="shared" si="9"/>
        <v>1370050</v>
      </c>
      <c r="G100" s="55">
        <v>1370050</v>
      </c>
      <c r="H100" s="55">
        <v>0</v>
      </c>
      <c r="I100" s="57"/>
      <c r="J100" s="58" t="s">
        <v>304</v>
      </c>
      <c r="K100" s="59"/>
      <c r="L100" s="67"/>
    </row>
    <row r="101" spans="1:14" s="42" customFormat="1" ht="35.1" customHeight="1" thickBot="1">
      <c r="A101" s="221" t="s">
        <v>49</v>
      </c>
      <c r="B101" s="221"/>
      <c r="C101" s="221"/>
      <c r="D101" s="221"/>
      <c r="E101" s="221"/>
      <c r="F101" s="64">
        <f>SUM(F96:F100)</f>
        <v>14897900</v>
      </c>
      <c r="G101" s="64">
        <f t="shared" ref="G101:K101" si="10">SUM(G96:G100)</f>
        <v>9035019</v>
      </c>
      <c r="H101" s="64">
        <f t="shared" si="10"/>
        <v>5812881</v>
      </c>
      <c r="I101" s="64">
        <f t="shared" si="10"/>
        <v>0</v>
      </c>
      <c r="J101" s="64">
        <v>50000</v>
      </c>
      <c r="K101" s="64">
        <f t="shared" si="10"/>
        <v>0</v>
      </c>
      <c r="L101" s="67"/>
      <c r="N101" s="165"/>
    </row>
    <row r="102" spans="1:14" s="40" customFormat="1" ht="42" hidden="1" customHeight="1">
      <c r="A102" s="53"/>
      <c r="B102" s="53">
        <v>851</v>
      </c>
      <c r="C102" s="53">
        <v>85149</v>
      </c>
      <c r="D102" s="53">
        <v>6230</v>
      </c>
      <c r="E102" s="63" t="s">
        <v>89</v>
      </c>
      <c r="F102" s="123">
        <f>G102</f>
        <v>0</v>
      </c>
      <c r="G102" s="123">
        <v>0</v>
      </c>
      <c r="H102" s="55"/>
      <c r="I102" s="57"/>
      <c r="J102" s="57"/>
      <c r="K102" s="59"/>
      <c r="L102" s="67"/>
    </row>
    <row r="103" spans="1:14" s="42" customFormat="1" ht="42" hidden="1" customHeight="1">
      <c r="A103" s="221" t="s">
        <v>90</v>
      </c>
      <c r="B103" s="221"/>
      <c r="C103" s="221"/>
      <c r="D103" s="221"/>
      <c r="E103" s="221"/>
      <c r="F103" s="64">
        <f>F102</f>
        <v>0</v>
      </c>
      <c r="G103" s="64">
        <f>G102</f>
        <v>0</v>
      </c>
      <c r="H103" s="64"/>
      <c r="I103" s="65"/>
      <c r="J103" s="65"/>
      <c r="K103" s="66"/>
      <c r="L103" s="67"/>
    </row>
    <row r="104" spans="1:14" s="41" customFormat="1" ht="38.25" customHeight="1" thickBot="1">
      <c r="A104" s="53" t="s">
        <v>404</v>
      </c>
      <c r="B104" s="53">
        <v>852</v>
      </c>
      <c r="C104" s="53">
        <v>85203</v>
      </c>
      <c r="D104" s="53">
        <v>6060</v>
      </c>
      <c r="E104" s="63" t="s">
        <v>86</v>
      </c>
      <c r="F104" s="55">
        <f>G104</f>
        <v>0</v>
      </c>
      <c r="G104" s="55">
        <v>0</v>
      </c>
      <c r="H104" s="55"/>
      <c r="I104" s="57"/>
      <c r="J104" s="57"/>
      <c r="K104" s="59"/>
      <c r="L104" s="196"/>
    </row>
    <row r="105" spans="1:14" s="33" customFormat="1" ht="35.1" customHeight="1" thickBot="1">
      <c r="A105" s="218" t="s">
        <v>85</v>
      </c>
      <c r="B105" s="219"/>
      <c r="C105" s="219"/>
      <c r="D105" s="219"/>
      <c r="E105" s="220"/>
      <c r="F105" s="64">
        <f>SUM(F104:F104)</f>
        <v>0</v>
      </c>
      <c r="G105" s="64">
        <f>SUM(G104:G104)</f>
        <v>0</v>
      </c>
      <c r="H105" s="64">
        <f>SUM(H104:H104)</f>
        <v>0</v>
      </c>
      <c r="I105" s="65"/>
      <c r="J105" s="65"/>
      <c r="K105" s="66"/>
      <c r="L105" s="67"/>
    </row>
    <row r="106" spans="1:14" s="41" customFormat="1" ht="35.1" customHeight="1" thickBot="1">
      <c r="A106" s="53" t="s">
        <v>411</v>
      </c>
      <c r="B106" s="53">
        <v>854</v>
      </c>
      <c r="C106" s="53">
        <v>85403</v>
      </c>
      <c r="D106" s="53">
        <v>6060</v>
      </c>
      <c r="E106" s="63" t="s">
        <v>264</v>
      </c>
      <c r="F106" s="55">
        <f>G106</f>
        <v>0</v>
      </c>
      <c r="G106" s="55">
        <v>0</v>
      </c>
      <c r="H106" s="55"/>
      <c r="I106" s="57"/>
      <c r="J106" s="57"/>
      <c r="K106" s="59"/>
      <c r="L106" s="197"/>
    </row>
    <row r="107" spans="1:14" s="33" customFormat="1" ht="35.1" customHeight="1" thickBot="1">
      <c r="A107" s="218" t="s">
        <v>263</v>
      </c>
      <c r="B107" s="219"/>
      <c r="C107" s="219"/>
      <c r="D107" s="219"/>
      <c r="E107" s="220"/>
      <c r="F107" s="64">
        <f>F106</f>
        <v>0</v>
      </c>
      <c r="G107" s="64">
        <f>G106</f>
        <v>0</v>
      </c>
      <c r="H107" s="64"/>
      <c r="I107" s="65"/>
      <c r="J107" s="65"/>
      <c r="K107" s="66"/>
      <c r="L107" s="119"/>
    </row>
    <row r="108" spans="1:14" s="39" customFormat="1" ht="36" customHeight="1" thickBot="1">
      <c r="A108" s="215" t="s">
        <v>46</v>
      </c>
      <c r="B108" s="216"/>
      <c r="C108" s="216"/>
      <c r="D108" s="216"/>
      <c r="E108" s="217"/>
      <c r="F108" s="124">
        <f>F66+F68+F70+F74+F83+F86+F88+F90+F95+F101+F103+F105+F107</f>
        <v>33972867</v>
      </c>
      <c r="G108" s="124">
        <f t="shared" ref="G108:I108" si="11">G66+G68+G70+G74+G83+G86+G88+G90+G95+G101+G103+G105+G107</f>
        <v>13791069</v>
      </c>
      <c r="H108" s="124">
        <f t="shared" si="11"/>
        <v>8000000</v>
      </c>
      <c r="I108" s="124">
        <f t="shared" si="11"/>
        <v>0</v>
      </c>
      <c r="J108" s="124">
        <f>J66+J68+J70+J74+J83+J86+J88+J90+J95+J101+J103+J105+J107</f>
        <v>12181798</v>
      </c>
      <c r="K108" s="125"/>
      <c r="L108" s="68"/>
    </row>
    <row r="109" spans="1:14" s="33" customFormat="1" ht="27" customHeight="1">
      <c r="A109" s="88" t="s">
        <v>397</v>
      </c>
      <c r="B109" s="36"/>
      <c r="C109" s="36"/>
      <c r="D109" s="36"/>
      <c r="E109" s="35"/>
      <c r="F109" s="37"/>
      <c r="G109" s="37"/>
      <c r="H109" s="37"/>
      <c r="I109" s="36"/>
      <c r="J109" s="36"/>
      <c r="K109" s="50"/>
      <c r="L109" s="194"/>
      <c r="N109" s="171"/>
    </row>
    <row r="110" spans="1:14" s="38" customFormat="1" ht="20.25" customHeight="1">
      <c r="A110" s="88" t="s">
        <v>47</v>
      </c>
      <c r="B110" s="36"/>
      <c r="C110" s="36"/>
      <c r="D110" s="36"/>
      <c r="E110" s="35"/>
      <c r="F110" s="36"/>
      <c r="G110" s="36"/>
      <c r="H110" s="36"/>
      <c r="I110" s="37"/>
      <c r="J110" s="36"/>
      <c r="K110" s="50"/>
      <c r="L110" s="194"/>
    </row>
    <row r="111" spans="1:14" s="33" customFormat="1" ht="21" customHeight="1">
      <c r="A111" s="88" t="s">
        <v>300</v>
      </c>
      <c r="B111" s="36"/>
      <c r="C111" s="36"/>
      <c r="D111" s="36"/>
      <c r="E111" s="35"/>
      <c r="F111" s="37"/>
      <c r="G111" s="37"/>
      <c r="H111" s="37"/>
      <c r="I111" s="36"/>
      <c r="J111" s="36"/>
      <c r="K111" s="174"/>
      <c r="L111" s="194"/>
    </row>
    <row r="112" spans="1:14" s="33" customFormat="1" ht="27" customHeight="1">
      <c r="A112" s="35"/>
      <c r="B112" s="35"/>
      <c r="C112" s="35"/>
      <c r="D112" s="35"/>
      <c r="E112" s="35"/>
      <c r="F112" s="35"/>
      <c r="G112" s="35"/>
      <c r="H112" s="35"/>
      <c r="I112" s="131"/>
      <c r="J112" s="131"/>
      <c r="K112" s="49"/>
      <c r="L112" s="187"/>
    </row>
    <row r="113" spans="1:12" s="34" customFormat="1" ht="28.5" customHeight="1">
      <c r="A113" s="35"/>
      <c r="B113" s="35"/>
      <c r="C113" s="35"/>
      <c r="D113" s="35"/>
      <c r="E113" s="35"/>
      <c r="F113" s="131"/>
      <c r="G113" s="35"/>
      <c r="H113" s="35"/>
      <c r="I113" s="35"/>
      <c r="J113" s="35"/>
      <c r="K113" s="49"/>
      <c r="L113" s="187"/>
    </row>
    <row r="114" spans="1:12" s="33" customFormat="1" ht="30" customHeight="1">
      <c r="A114" s="30"/>
      <c r="B114" s="30"/>
      <c r="C114" s="30"/>
      <c r="D114" s="30"/>
      <c r="E114" s="30"/>
      <c r="F114" s="30"/>
      <c r="G114" s="30"/>
      <c r="H114" s="129"/>
      <c r="I114" s="30"/>
      <c r="J114" s="129"/>
      <c r="K114" s="48"/>
      <c r="L114" s="187"/>
    </row>
    <row r="115" spans="1:12" s="32" customFormat="1" ht="27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48"/>
      <c r="L115" s="187"/>
    </row>
    <row r="117" spans="1:12" s="31" customFormat="1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48"/>
      <c r="L117" s="187"/>
    </row>
    <row r="118" spans="1:12" s="31" customFormat="1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48"/>
      <c r="L118" s="187"/>
    </row>
    <row r="119" spans="1:12" s="31" customFormat="1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48"/>
      <c r="L119" s="187"/>
    </row>
  </sheetData>
  <mergeCells count="33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68:E68"/>
    <mergeCell ref="L4:L5"/>
    <mergeCell ref="A7:E7"/>
    <mergeCell ref="A12:E12"/>
    <mergeCell ref="A19:E19"/>
    <mergeCell ref="A25:E25"/>
    <mergeCell ref="A32:E32"/>
    <mergeCell ref="A38:E38"/>
    <mergeCell ref="A44:E44"/>
    <mergeCell ref="A50:E50"/>
    <mergeCell ref="A61:E61"/>
    <mergeCell ref="A66:E66"/>
    <mergeCell ref="A108:E108"/>
    <mergeCell ref="A70:E70"/>
    <mergeCell ref="A74:E74"/>
    <mergeCell ref="A83:E83"/>
    <mergeCell ref="A86:E86"/>
    <mergeCell ref="A88:E88"/>
    <mergeCell ref="A90:E90"/>
    <mergeCell ref="A95:E95"/>
    <mergeCell ref="A101:E101"/>
    <mergeCell ref="A103:E103"/>
    <mergeCell ref="A105:E105"/>
    <mergeCell ref="A107:E107"/>
  </mergeCells>
  <pageMargins left="0.39370078740157483" right="0.39370078740157483" top="0.94488188976377963" bottom="0.55118110236220474" header="0.51181102362204722" footer="0.31496062992125984"/>
  <pageSetup paperSize="9" scale="80" orientation="landscape" horizontalDpi="4294967293" verticalDpi="0" r:id="rId1"/>
  <headerFooter differentOddEven="1" differentFirst="1" alignWithMargins="0">
    <oddFooter>&amp;C&amp;P</oddFooter>
    <evenFooter>&amp;C&amp;P</evenFooter>
    <firstHeader>&amp;RTabela Nr 2a
do uchwały Nr ..............
Rady  Powiatu  Otwockiego
   z dnia  .................................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29"/>
  <sheetViews>
    <sheetView showGridLines="0" tabSelected="1" workbookViewId="0">
      <selection activeCell="D13" sqref="D13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5" width="9.33203125" style="2"/>
    <col min="6" max="6" width="10.6640625" style="2" bestFit="1" customWidth="1"/>
    <col min="7" max="7" width="9.33203125" style="2"/>
    <col min="8" max="8" width="15.1640625" style="2" bestFit="1" customWidth="1"/>
    <col min="9" max="10" width="9.33203125" style="2"/>
    <col min="11" max="11" width="13" style="2" bestFit="1" customWidth="1"/>
    <col min="12" max="16384" width="9.33203125" style="2"/>
  </cols>
  <sheetData>
    <row r="3" spans="1:8" s="1" customFormat="1" ht="15" customHeight="1">
      <c r="A3" s="238" t="s">
        <v>179</v>
      </c>
      <c r="B3" s="238"/>
      <c r="C3" s="238"/>
      <c r="D3" s="238"/>
    </row>
    <row r="4" spans="1:8">
      <c r="D4" s="3"/>
    </row>
    <row r="5" spans="1:8" ht="54" customHeight="1">
      <c r="A5" s="4" t="s">
        <v>6</v>
      </c>
      <c r="B5" s="4" t="s">
        <v>12</v>
      </c>
      <c r="C5" s="5" t="s">
        <v>13</v>
      </c>
      <c r="D5" s="5" t="s">
        <v>14</v>
      </c>
    </row>
    <row r="6" spans="1:8" s="25" customFormat="1" ht="16.5" customHeight="1">
      <c r="A6" s="26">
        <v>1</v>
      </c>
      <c r="B6" s="26">
        <v>2</v>
      </c>
      <c r="C6" s="26">
        <v>3</v>
      </c>
      <c r="D6" s="27">
        <v>4</v>
      </c>
    </row>
    <row r="7" spans="1:8" s="8" customFormat="1" ht="24.75" customHeight="1">
      <c r="A7" s="6" t="s">
        <v>7</v>
      </c>
      <c r="B7" s="7" t="s">
        <v>15</v>
      </c>
      <c r="C7" s="6"/>
      <c r="D7" s="157">
        <f>SUM(D8:D9)</f>
        <v>160369596.34999999</v>
      </c>
    </row>
    <row r="8" spans="1:8" s="11" customFormat="1" ht="24.75" customHeight="1">
      <c r="A8" s="9"/>
      <c r="B8" s="10" t="s">
        <v>16</v>
      </c>
      <c r="C8" s="9"/>
      <c r="D8" s="158">
        <v>150067872.34999999</v>
      </c>
    </row>
    <row r="9" spans="1:8" s="11" customFormat="1" ht="24.75" customHeight="1">
      <c r="A9" s="9"/>
      <c r="B9" s="10" t="s">
        <v>17</v>
      </c>
      <c r="C9" s="9"/>
      <c r="D9" s="159">
        <v>10301724</v>
      </c>
    </row>
    <row r="10" spans="1:8" s="8" customFormat="1" ht="24.75" customHeight="1">
      <c r="A10" s="6" t="s">
        <v>8</v>
      </c>
      <c r="B10" s="7" t="s">
        <v>18</v>
      </c>
      <c r="C10" s="6"/>
      <c r="D10" s="160">
        <f>SUM(D11,D12)</f>
        <v>175191793.34999999</v>
      </c>
    </row>
    <row r="11" spans="1:8" s="11" customFormat="1" ht="24.75" customHeight="1">
      <c r="A11" s="9"/>
      <c r="B11" s="10" t="s">
        <v>35</v>
      </c>
      <c r="C11" s="9"/>
      <c r="D11" s="161">
        <v>141218926.34999999</v>
      </c>
    </row>
    <row r="12" spans="1:8" s="11" customFormat="1" ht="24.75" customHeight="1">
      <c r="A12" s="9"/>
      <c r="B12" s="10" t="s">
        <v>19</v>
      </c>
      <c r="C12" s="9"/>
      <c r="D12" s="162">
        <v>33972867</v>
      </c>
      <c r="H12" s="198"/>
    </row>
    <row r="13" spans="1:8" s="8" customFormat="1" ht="24.75" customHeight="1">
      <c r="A13" s="6" t="s">
        <v>9</v>
      </c>
      <c r="B13" s="7" t="s">
        <v>20</v>
      </c>
      <c r="C13" s="13"/>
      <c r="D13" s="157">
        <f>D7-D10</f>
        <v>-14822197</v>
      </c>
    </row>
    <row r="14" spans="1:8" ht="24.75" customHeight="1">
      <c r="A14" s="239" t="s">
        <v>21</v>
      </c>
      <c r="B14" s="240"/>
      <c r="C14" s="14"/>
      <c r="D14" s="15">
        <f>SUM(D15:D21)</f>
        <v>20076809</v>
      </c>
      <c r="H14" s="127"/>
    </row>
    <row r="15" spans="1:8" ht="81.75" customHeight="1">
      <c r="A15" s="90" t="s">
        <v>7</v>
      </c>
      <c r="B15" s="132" t="s">
        <v>96</v>
      </c>
      <c r="C15" s="16" t="s">
        <v>95</v>
      </c>
      <c r="D15" s="91">
        <f>2774694+850000</f>
        <v>3624694</v>
      </c>
      <c r="F15" s="127"/>
      <c r="H15" s="127"/>
    </row>
    <row r="16" spans="1:8" ht="72" customHeight="1">
      <c r="A16" s="90" t="s">
        <v>8</v>
      </c>
      <c r="B16" s="133" t="s">
        <v>97</v>
      </c>
      <c r="C16" s="16" t="s">
        <v>94</v>
      </c>
      <c r="D16" s="91">
        <f>944317+104925+137951+316903-136888</f>
        <v>1367208</v>
      </c>
      <c r="F16" s="127"/>
    </row>
    <row r="17" spans="1:11" ht="32.25" customHeight="1">
      <c r="A17" s="90" t="s">
        <v>9</v>
      </c>
      <c r="B17" s="134" t="s">
        <v>270</v>
      </c>
      <c r="C17" s="126" t="s">
        <v>271</v>
      </c>
      <c r="D17" s="91">
        <v>8000000</v>
      </c>
      <c r="K17" s="127"/>
    </row>
    <row r="18" spans="1:11" ht="31.5" customHeight="1">
      <c r="A18" s="90" t="s">
        <v>10</v>
      </c>
      <c r="B18" s="19" t="s">
        <v>32</v>
      </c>
      <c r="C18" s="16" t="s">
        <v>23</v>
      </c>
      <c r="D18" s="12">
        <v>7084907</v>
      </c>
      <c r="K18" s="127"/>
    </row>
    <row r="19" spans="1:11" ht="32.25" customHeight="1">
      <c r="A19" s="90" t="s">
        <v>11</v>
      </c>
      <c r="B19" s="28" t="s">
        <v>38</v>
      </c>
      <c r="C19" s="16" t="s">
        <v>39</v>
      </c>
      <c r="D19" s="18">
        <v>0</v>
      </c>
    </row>
    <row r="20" spans="1:11" ht="24.75" customHeight="1">
      <c r="A20" s="90" t="s">
        <v>69</v>
      </c>
      <c r="B20" s="17" t="s">
        <v>30</v>
      </c>
      <c r="C20" s="16" t="s">
        <v>22</v>
      </c>
      <c r="D20" s="12">
        <f>7000000-7000000</f>
        <v>0</v>
      </c>
    </row>
    <row r="21" spans="1:11" ht="27" customHeight="1">
      <c r="A21" s="90" t="s">
        <v>68</v>
      </c>
      <c r="B21" s="19" t="s">
        <v>31</v>
      </c>
      <c r="C21" s="16" t="s">
        <v>22</v>
      </c>
      <c r="D21" s="20">
        <v>0</v>
      </c>
    </row>
    <row r="22" spans="1:11" ht="24.75" customHeight="1">
      <c r="A22" s="239" t="s">
        <v>24</v>
      </c>
      <c r="B22" s="240"/>
      <c r="C22" s="21"/>
      <c r="D22" s="15">
        <f>SUM(D23:D25)</f>
        <v>5254612</v>
      </c>
    </row>
    <row r="23" spans="1:11" s="29" customFormat="1" ht="24.75" customHeight="1">
      <c r="A23" s="6" t="s">
        <v>7</v>
      </c>
      <c r="B23" s="19" t="s">
        <v>41</v>
      </c>
      <c r="C23" s="16" t="s">
        <v>40</v>
      </c>
      <c r="D23" s="18">
        <v>0</v>
      </c>
    </row>
    <row r="24" spans="1:11" ht="24.75" customHeight="1">
      <c r="A24" s="6" t="s">
        <v>8</v>
      </c>
      <c r="B24" s="19" t="s">
        <v>33</v>
      </c>
      <c r="C24" s="16" t="s">
        <v>25</v>
      </c>
      <c r="D24" s="12">
        <v>5254612</v>
      </c>
    </row>
    <row r="25" spans="1:11" ht="24.75" customHeight="1">
      <c r="A25" s="6" t="s">
        <v>9</v>
      </c>
      <c r="B25" s="19" t="s">
        <v>34</v>
      </c>
      <c r="C25" s="16" t="s">
        <v>25</v>
      </c>
      <c r="D25" s="18">
        <v>0</v>
      </c>
    </row>
    <row r="26" spans="1:11" ht="21.75" customHeight="1">
      <c r="A26" s="22"/>
      <c r="B26" s="23"/>
      <c r="C26" s="22"/>
      <c r="D26" s="24"/>
    </row>
    <row r="27" spans="1:11" ht="24.75" customHeight="1"/>
    <row r="28" spans="1:11" ht="24.75" customHeight="1"/>
    <row r="29" spans="1:11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fitToHeight="0" orientation="portrait" horizontalDpi="4294967295" verticalDpi="300" r:id="rId1"/>
  <headerFooter alignWithMargins="0">
    <oddHeader>&amp;R&amp;10Tabela Nr 3 
do uchwały Nr ................
Rady  Powiatu  Otwockiego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12"/>
  <sheetViews>
    <sheetView topLeftCell="A172" zoomScale="106" zoomScaleNormal="106" workbookViewId="0">
      <selection activeCell="J11" sqref="J11"/>
    </sheetView>
  </sheetViews>
  <sheetFormatPr defaultRowHeight="11.25"/>
  <cols>
    <col min="1" max="1" width="6.33203125" style="186" customWidth="1"/>
    <col min="2" max="3" width="9.83203125" style="186" customWidth="1"/>
    <col min="4" max="4" width="62.83203125" style="186" customWidth="1"/>
    <col min="5" max="6" width="15.83203125" style="186" customWidth="1"/>
    <col min="7" max="7" width="9.33203125" style="186"/>
    <col min="8" max="8" width="13.83203125" style="186" bestFit="1" customWidth="1"/>
    <col min="9" max="241" width="9.33203125" style="186"/>
    <col min="242" max="242" width="3" style="186" customWidth="1"/>
    <col min="243" max="243" width="5.33203125" style="186" customWidth="1"/>
    <col min="244" max="244" width="5.6640625" style="186" customWidth="1"/>
    <col min="245" max="245" width="22" style="186" customWidth="1"/>
    <col min="246" max="247" width="10.5" style="186" customWidth="1"/>
    <col min="248" max="248" width="8.33203125" style="186" customWidth="1"/>
    <col min="249" max="249" width="10.5" style="186" customWidth="1"/>
    <col min="250" max="250" width="9" style="186" customWidth="1"/>
    <col min="251" max="254" width="8.33203125" style="186" customWidth="1"/>
    <col min="255" max="255" width="9" style="186" customWidth="1"/>
    <col min="256" max="256" width="8.33203125" style="186" customWidth="1"/>
    <col min="257" max="257" width="5.5" style="186" customWidth="1"/>
    <col min="258" max="258" width="2.83203125" style="186" customWidth="1"/>
    <col min="259" max="259" width="2" style="186" customWidth="1"/>
    <col min="260" max="260" width="6.5" style="186" customWidth="1"/>
    <col min="261" max="261" width="8.5" style="186" customWidth="1"/>
    <col min="262" max="497" width="9.33203125" style="186"/>
    <col min="498" max="498" width="3" style="186" customWidth="1"/>
    <col min="499" max="499" width="5.33203125" style="186" customWidth="1"/>
    <col min="500" max="500" width="5.6640625" style="186" customWidth="1"/>
    <col min="501" max="501" width="22" style="186" customWidth="1"/>
    <col min="502" max="503" width="10.5" style="186" customWidth="1"/>
    <col min="504" max="504" width="8.33203125" style="186" customWidth="1"/>
    <col min="505" max="505" width="10.5" style="186" customWidth="1"/>
    <col min="506" max="506" width="9" style="186" customWidth="1"/>
    <col min="507" max="510" width="8.33203125" style="186" customWidth="1"/>
    <col min="511" max="511" width="9" style="186" customWidth="1"/>
    <col min="512" max="512" width="8.33203125" style="186" customWidth="1"/>
    <col min="513" max="513" width="5.5" style="186" customWidth="1"/>
    <col min="514" max="514" width="2.83203125" style="186" customWidth="1"/>
    <col min="515" max="515" width="2" style="186" customWidth="1"/>
    <col min="516" max="516" width="6.5" style="186" customWidth="1"/>
    <col min="517" max="517" width="8.5" style="186" customWidth="1"/>
    <col min="518" max="753" width="9.33203125" style="186"/>
    <col min="754" max="754" width="3" style="186" customWidth="1"/>
    <col min="755" max="755" width="5.33203125" style="186" customWidth="1"/>
    <col min="756" max="756" width="5.6640625" style="186" customWidth="1"/>
    <col min="757" max="757" width="22" style="186" customWidth="1"/>
    <col min="758" max="759" width="10.5" style="186" customWidth="1"/>
    <col min="760" max="760" width="8.33203125" style="186" customWidth="1"/>
    <col min="761" max="761" width="10.5" style="186" customWidth="1"/>
    <col min="762" max="762" width="9" style="186" customWidth="1"/>
    <col min="763" max="766" width="8.33203125" style="186" customWidth="1"/>
    <col min="767" max="767" width="9" style="186" customWidth="1"/>
    <col min="768" max="768" width="8.33203125" style="186" customWidth="1"/>
    <col min="769" max="769" width="5.5" style="186" customWidth="1"/>
    <col min="770" max="770" width="2.83203125" style="186" customWidth="1"/>
    <col min="771" max="771" width="2" style="186" customWidth="1"/>
    <col min="772" max="772" width="6.5" style="186" customWidth="1"/>
    <col min="773" max="773" width="8.5" style="186" customWidth="1"/>
    <col min="774" max="1009" width="9.33203125" style="186"/>
    <col min="1010" max="1010" width="3" style="186" customWidth="1"/>
    <col min="1011" max="1011" width="5.33203125" style="186" customWidth="1"/>
    <col min="1012" max="1012" width="5.6640625" style="186" customWidth="1"/>
    <col min="1013" max="1013" width="22" style="186" customWidth="1"/>
    <col min="1014" max="1015" width="10.5" style="186" customWidth="1"/>
    <col min="1016" max="1016" width="8.33203125" style="186" customWidth="1"/>
    <col min="1017" max="1017" width="10.5" style="186" customWidth="1"/>
    <col min="1018" max="1018" width="9" style="186" customWidth="1"/>
    <col min="1019" max="1022" width="8.33203125" style="186" customWidth="1"/>
    <col min="1023" max="1023" width="9" style="186" customWidth="1"/>
    <col min="1024" max="1024" width="8.33203125" style="186" customWidth="1"/>
    <col min="1025" max="1025" width="5.5" style="186" customWidth="1"/>
    <col min="1026" max="1026" width="2.83203125" style="186" customWidth="1"/>
    <col min="1027" max="1027" width="2" style="186" customWidth="1"/>
    <col min="1028" max="1028" width="6.5" style="186" customWidth="1"/>
    <col min="1029" max="1029" width="8.5" style="186" customWidth="1"/>
    <col min="1030" max="1265" width="9.33203125" style="186"/>
    <col min="1266" max="1266" width="3" style="186" customWidth="1"/>
    <col min="1267" max="1267" width="5.33203125" style="186" customWidth="1"/>
    <col min="1268" max="1268" width="5.6640625" style="186" customWidth="1"/>
    <col min="1269" max="1269" width="22" style="186" customWidth="1"/>
    <col min="1270" max="1271" width="10.5" style="186" customWidth="1"/>
    <col min="1272" max="1272" width="8.33203125" style="186" customWidth="1"/>
    <col min="1273" max="1273" width="10.5" style="186" customWidth="1"/>
    <col min="1274" max="1274" width="9" style="186" customWidth="1"/>
    <col min="1275" max="1278" width="8.33203125" style="186" customWidth="1"/>
    <col min="1279" max="1279" width="9" style="186" customWidth="1"/>
    <col min="1280" max="1280" width="8.33203125" style="186" customWidth="1"/>
    <col min="1281" max="1281" width="5.5" style="186" customWidth="1"/>
    <col min="1282" max="1282" width="2.83203125" style="186" customWidth="1"/>
    <col min="1283" max="1283" width="2" style="186" customWidth="1"/>
    <col min="1284" max="1284" width="6.5" style="186" customWidth="1"/>
    <col min="1285" max="1285" width="8.5" style="186" customWidth="1"/>
    <col min="1286" max="1521" width="9.33203125" style="186"/>
    <col min="1522" max="1522" width="3" style="186" customWidth="1"/>
    <col min="1523" max="1523" width="5.33203125" style="186" customWidth="1"/>
    <col min="1524" max="1524" width="5.6640625" style="186" customWidth="1"/>
    <col min="1525" max="1525" width="22" style="186" customWidth="1"/>
    <col min="1526" max="1527" width="10.5" style="186" customWidth="1"/>
    <col min="1528" max="1528" width="8.33203125" style="186" customWidth="1"/>
    <col min="1529" max="1529" width="10.5" style="186" customWidth="1"/>
    <col min="1530" max="1530" width="9" style="186" customWidth="1"/>
    <col min="1531" max="1534" width="8.33203125" style="186" customWidth="1"/>
    <col min="1535" max="1535" width="9" style="186" customWidth="1"/>
    <col min="1536" max="1536" width="8.33203125" style="186" customWidth="1"/>
    <col min="1537" max="1537" width="5.5" style="186" customWidth="1"/>
    <col min="1538" max="1538" width="2.83203125" style="186" customWidth="1"/>
    <col min="1539" max="1539" width="2" style="186" customWidth="1"/>
    <col min="1540" max="1540" width="6.5" style="186" customWidth="1"/>
    <col min="1541" max="1541" width="8.5" style="186" customWidth="1"/>
    <col min="1542" max="1777" width="9.33203125" style="186"/>
    <col min="1778" max="1778" width="3" style="186" customWidth="1"/>
    <col min="1779" max="1779" width="5.33203125" style="186" customWidth="1"/>
    <col min="1780" max="1780" width="5.6640625" style="186" customWidth="1"/>
    <col min="1781" max="1781" width="22" style="186" customWidth="1"/>
    <col min="1782" max="1783" width="10.5" style="186" customWidth="1"/>
    <col min="1784" max="1784" width="8.33203125" style="186" customWidth="1"/>
    <col min="1785" max="1785" width="10.5" style="186" customWidth="1"/>
    <col min="1786" max="1786" width="9" style="186" customWidth="1"/>
    <col min="1787" max="1790" width="8.33203125" style="186" customWidth="1"/>
    <col min="1791" max="1791" width="9" style="186" customWidth="1"/>
    <col min="1792" max="1792" width="8.33203125" style="186" customWidth="1"/>
    <col min="1793" max="1793" width="5.5" style="186" customWidth="1"/>
    <col min="1794" max="1794" width="2.83203125" style="186" customWidth="1"/>
    <col min="1795" max="1795" width="2" style="186" customWidth="1"/>
    <col min="1796" max="1796" width="6.5" style="186" customWidth="1"/>
    <col min="1797" max="1797" width="8.5" style="186" customWidth="1"/>
    <col min="1798" max="2033" width="9.33203125" style="186"/>
    <col min="2034" max="2034" width="3" style="186" customWidth="1"/>
    <col min="2035" max="2035" width="5.33203125" style="186" customWidth="1"/>
    <col min="2036" max="2036" width="5.6640625" style="186" customWidth="1"/>
    <col min="2037" max="2037" width="22" style="186" customWidth="1"/>
    <col min="2038" max="2039" width="10.5" style="186" customWidth="1"/>
    <col min="2040" max="2040" width="8.33203125" style="186" customWidth="1"/>
    <col min="2041" max="2041" width="10.5" style="186" customWidth="1"/>
    <col min="2042" max="2042" width="9" style="186" customWidth="1"/>
    <col min="2043" max="2046" width="8.33203125" style="186" customWidth="1"/>
    <col min="2047" max="2047" width="9" style="186" customWidth="1"/>
    <col min="2048" max="2048" width="8.33203125" style="186" customWidth="1"/>
    <col min="2049" max="2049" width="5.5" style="186" customWidth="1"/>
    <col min="2050" max="2050" width="2.83203125" style="186" customWidth="1"/>
    <col min="2051" max="2051" width="2" style="186" customWidth="1"/>
    <col min="2052" max="2052" width="6.5" style="186" customWidth="1"/>
    <col min="2053" max="2053" width="8.5" style="186" customWidth="1"/>
    <col min="2054" max="2289" width="9.33203125" style="186"/>
    <col min="2290" max="2290" width="3" style="186" customWidth="1"/>
    <col min="2291" max="2291" width="5.33203125" style="186" customWidth="1"/>
    <col min="2292" max="2292" width="5.6640625" style="186" customWidth="1"/>
    <col min="2293" max="2293" width="22" style="186" customWidth="1"/>
    <col min="2294" max="2295" width="10.5" style="186" customWidth="1"/>
    <col min="2296" max="2296" width="8.33203125" style="186" customWidth="1"/>
    <col min="2297" max="2297" width="10.5" style="186" customWidth="1"/>
    <col min="2298" max="2298" width="9" style="186" customWidth="1"/>
    <col min="2299" max="2302" width="8.33203125" style="186" customWidth="1"/>
    <col min="2303" max="2303" width="9" style="186" customWidth="1"/>
    <col min="2304" max="2304" width="8.33203125" style="186" customWidth="1"/>
    <col min="2305" max="2305" width="5.5" style="186" customWidth="1"/>
    <col min="2306" max="2306" width="2.83203125" style="186" customWidth="1"/>
    <col min="2307" max="2307" width="2" style="186" customWidth="1"/>
    <col min="2308" max="2308" width="6.5" style="186" customWidth="1"/>
    <col min="2309" max="2309" width="8.5" style="186" customWidth="1"/>
    <col min="2310" max="2545" width="9.33203125" style="186"/>
    <col min="2546" max="2546" width="3" style="186" customWidth="1"/>
    <col min="2547" max="2547" width="5.33203125" style="186" customWidth="1"/>
    <col min="2548" max="2548" width="5.6640625" style="186" customWidth="1"/>
    <col min="2549" max="2549" width="22" style="186" customWidth="1"/>
    <col min="2550" max="2551" width="10.5" style="186" customWidth="1"/>
    <col min="2552" max="2552" width="8.33203125" style="186" customWidth="1"/>
    <col min="2553" max="2553" width="10.5" style="186" customWidth="1"/>
    <col min="2554" max="2554" width="9" style="186" customWidth="1"/>
    <col min="2555" max="2558" width="8.33203125" style="186" customWidth="1"/>
    <col min="2559" max="2559" width="9" style="186" customWidth="1"/>
    <col min="2560" max="2560" width="8.33203125" style="186" customWidth="1"/>
    <col min="2561" max="2561" width="5.5" style="186" customWidth="1"/>
    <col min="2562" max="2562" width="2.83203125" style="186" customWidth="1"/>
    <col min="2563" max="2563" width="2" style="186" customWidth="1"/>
    <col min="2564" max="2564" width="6.5" style="186" customWidth="1"/>
    <col min="2565" max="2565" width="8.5" style="186" customWidth="1"/>
    <col min="2566" max="2801" width="9.33203125" style="186"/>
    <col min="2802" max="2802" width="3" style="186" customWidth="1"/>
    <col min="2803" max="2803" width="5.33203125" style="186" customWidth="1"/>
    <col min="2804" max="2804" width="5.6640625" style="186" customWidth="1"/>
    <col min="2805" max="2805" width="22" style="186" customWidth="1"/>
    <col min="2806" max="2807" width="10.5" style="186" customWidth="1"/>
    <col min="2808" max="2808" width="8.33203125" style="186" customWidth="1"/>
    <col min="2809" max="2809" width="10.5" style="186" customWidth="1"/>
    <col min="2810" max="2810" width="9" style="186" customWidth="1"/>
    <col min="2811" max="2814" width="8.33203125" style="186" customWidth="1"/>
    <col min="2815" max="2815" width="9" style="186" customWidth="1"/>
    <col min="2816" max="2816" width="8.33203125" style="186" customWidth="1"/>
    <col min="2817" max="2817" width="5.5" style="186" customWidth="1"/>
    <col min="2818" max="2818" width="2.83203125" style="186" customWidth="1"/>
    <col min="2819" max="2819" width="2" style="186" customWidth="1"/>
    <col min="2820" max="2820" width="6.5" style="186" customWidth="1"/>
    <col min="2821" max="2821" width="8.5" style="186" customWidth="1"/>
    <col min="2822" max="3057" width="9.33203125" style="186"/>
    <col min="3058" max="3058" width="3" style="186" customWidth="1"/>
    <col min="3059" max="3059" width="5.33203125" style="186" customWidth="1"/>
    <col min="3060" max="3060" width="5.6640625" style="186" customWidth="1"/>
    <col min="3061" max="3061" width="22" style="186" customWidth="1"/>
    <col min="3062" max="3063" width="10.5" style="186" customWidth="1"/>
    <col min="3064" max="3064" width="8.33203125" style="186" customWidth="1"/>
    <col min="3065" max="3065" width="10.5" style="186" customWidth="1"/>
    <col min="3066" max="3066" width="9" style="186" customWidth="1"/>
    <col min="3067" max="3070" width="8.33203125" style="186" customWidth="1"/>
    <col min="3071" max="3071" width="9" style="186" customWidth="1"/>
    <col min="3072" max="3072" width="8.33203125" style="186" customWidth="1"/>
    <col min="3073" max="3073" width="5.5" style="186" customWidth="1"/>
    <col min="3074" max="3074" width="2.83203125" style="186" customWidth="1"/>
    <col min="3075" max="3075" width="2" style="186" customWidth="1"/>
    <col min="3076" max="3076" width="6.5" style="186" customWidth="1"/>
    <col min="3077" max="3077" width="8.5" style="186" customWidth="1"/>
    <col min="3078" max="3313" width="9.33203125" style="186"/>
    <col min="3314" max="3314" width="3" style="186" customWidth="1"/>
    <col min="3315" max="3315" width="5.33203125" style="186" customWidth="1"/>
    <col min="3316" max="3316" width="5.6640625" style="186" customWidth="1"/>
    <col min="3317" max="3317" width="22" style="186" customWidth="1"/>
    <col min="3318" max="3319" width="10.5" style="186" customWidth="1"/>
    <col min="3320" max="3320" width="8.33203125" style="186" customWidth="1"/>
    <col min="3321" max="3321" width="10.5" style="186" customWidth="1"/>
    <col min="3322" max="3322" width="9" style="186" customWidth="1"/>
    <col min="3323" max="3326" width="8.33203125" style="186" customWidth="1"/>
    <col min="3327" max="3327" width="9" style="186" customWidth="1"/>
    <col min="3328" max="3328" width="8.33203125" style="186" customWidth="1"/>
    <col min="3329" max="3329" width="5.5" style="186" customWidth="1"/>
    <col min="3330" max="3330" width="2.83203125" style="186" customWidth="1"/>
    <col min="3331" max="3331" width="2" style="186" customWidth="1"/>
    <col min="3332" max="3332" width="6.5" style="186" customWidth="1"/>
    <col min="3333" max="3333" width="8.5" style="186" customWidth="1"/>
    <col min="3334" max="3569" width="9.33203125" style="186"/>
    <col min="3570" max="3570" width="3" style="186" customWidth="1"/>
    <col min="3571" max="3571" width="5.33203125" style="186" customWidth="1"/>
    <col min="3572" max="3572" width="5.6640625" style="186" customWidth="1"/>
    <col min="3573" max="3573" width="22" style="186" customWidth="1"/>
    <col min="3574" max="3575" width="10.5" style="186" customWidth="1"/>
    <col min="3576" max="3576" width="8.33203125" style="186" customWidth="1"/>
    <col min="3577" max="3577" width="10.5" style="186" customWidth="1"/>
    <col min="3578" max="3578" width="9" style="186" customWidth="1"/>
    <col min="3579" max="3582" width="8.33203125" style="186" customWidth="1"/>
    <col min="3583" max="3583" width="9" style="186" customWidth="1"/>
    <col min="3584" max="3584" width="8.33203125" style="186" customWidth="1"/>
    <col min="3585" max="3585" width="5.5" style="186" customWidth="1"/>
    <col min="3586" max="3586" width="2.83203125" style="186" customWidth="1"/>
    <col min="3587" max="3587" width="2" style="186" customWidth="1"/>
    <col min="3588" max="3588" width="6.5" style="186" customWidth="1"/>
    <col min="3589" max="3589" width="8.5" style="186" customWidth="1"/>
    <col min="3590" max="3825" width="9.33203125" style="186"/>
    <col min="3826" max="3826" width="3" style="186" customWidth="1"/>
    <col min="3827" max="3827" width="5.33203125" style="186" customWidth="1"/>
    <col min="3828" max="3828" width="5.6640625" style="186" customWidth="1"/>
    <col min="3829" max="3829" width="22" style="186" customWidth="1"/>
    <col min="3830" max="3831" width="10.5" style="186" customWidth="1"/>
    <col min="3832" max="3832" width="8.33203125" style="186" customWidth="1"/>
    <col min="3833" max="3833" width="10.5" style="186" customWidth="1"/>
    <col min="3834" max="3834" width="9" style="186" customWidth="1"/>
    <col min="3835" max="3838" width="8.33203125" style="186" customWidth="1"/>
    <col min="3839" max="3839" width="9" style="186" customWidth="1"/>
    <col min="3840" max="3840" width="8.33203125" style="186" customWidth="1"/>
    <col min="3841" max="3841" width="5.5" style="186" customWidth="1"/>
    <col min="3842" max="3842" width="2.83203125" style="186" customWidth="1"/>
    <col min="3843" max="3843" width="2" style="186" customWidth="1"/>
    <col min="3844" max="3844" width="6.5" style="186" customWidth="1"/>
    <col min="3845" max="3845" width="8.5" style="186" customWidth="1"/>
    <col min="3846" max="4081" width="9.33203125" style="186"/>
    <col min="4082" max="4082" width="3" style="186" customWidth="1"/>
    <col min="4083" max="4083" width="5.33203125" style="186" customWidth="1"/>
    <col min="4084" max="4084" width="5.6640625" style="186" customWidth="1"/>
    <col min="4085" max="4085" width="22" style="186" customWidth="1"/>
    <col min="4086" max="4087" width="10.5" style="186" customWidth="1"/>
    <col min="4088" max="4088" width="8.33203125" style="186" customWidth="1"/>
    <col min="4089" max="4089" width="10.5" style="186" customWidth="1"/>
    <col min="4090" max="4090" width="9" style="186" customWidth="1"/>
    <col min="4091" max="4094" width="8.33203125" style="186" customWidth="1"/>
    <col min="4095" max="4095" width="9" style="186" customWidth="1"/>
    <col min="4096" max="4096" width="8.33203125" style="186" customWidth="1"/>
    <col min="4097" max="4097" width="5.5" style="186" customWidth="1"/>
    <col min="4098" max="4098" width="2.83203125" style="186" customWidth="1"/>
    <col min="4099" max="4099" width="2" style="186" customWidth="1"/>
    <col min="4100" max="4100" width="6.5" style="186" customWidth="1"/>
    <col min="4101" max="4101" width="8.5" style="186" customWidth="1"/>
    <col min="4102" max="4337" width="9.33203125" style="186"/>
    <col min="4338" max="4338" width="3" style="186" customWidth="1"/>
    <col min="4339" max="4339" width="5.33203125" style="186" customWidth="1"/>
    <col min="4340" max="4340" width="5.6640625" style="186" customWidth="1"/>
    <col min="4341" max="4341" width="22" style="186" customWidth="1"/>
    <col min="4342" max="4343" width="10.5" style="186" customWidth="1"/>
    <col min="4344" max="4344" width="8.33203125" style="186" customWidth="1"/>
    <col min="4345" max="4345" width="10.5" style="186" customWidth="1"/>
    <col min="4346" max="4346" width="9" style="186" customWidth="1"/>
    <col min="4347" max="4350" width="8.33203125" style="186" customWidth="1"/>
    <col min="4351" max="4351" width="9" style="186" customWidth="1"/>
    <col min="4352" max="4352" width="8.33203125" style="186" customWidth="1"/>
    <col min="4353" max="4353" width="5.5" style="186" customWidth="1"/>
    <col min="4354" max="4354" width="2.83203125" style="186" customWidth="1"/>
    <col min="4355" max="4355" width="2" style="186" customWidth="1"/>
    <col min="4356" max="4356" width="6.5" style="186" customWidth="1"/>
    <col min="4357" max="4357" width="8.5" style="186" customWidth="1"/>
    <col min="4358" max="4593" width="9.33203125" style="186"/>
    <col min="4594" max="4594" width="3" style="186" customWidth="1"/>
    <col min="4595" max="4595" width="5.33203125" style="186" customWidth="1"/>
    <col min="4596" max="4596" width="5.6640625" style="186" customWidth="1"/>
    <col min="4597" max="4597" width="22" style="186" customWidth="1"/>
    <col min="4598" max="4599" width="10.5" style="186" customWidth="1"/>
    <col min="4600" max="4600" width="8.33203125" style="186" customWidth="1"/>
    <col min="4601" max="4601" width="10.5" style="186" customWidth="1"/>
    <col min="4602" max="4602" width="9" style="186" customWidth="1"/>
    <col min="4603" max="4606" width="8.33203125" style="186" customWidth="1"/>
    <col min="4607" max="4607" width="9" style="186" customWidth="1"/>
    <col min="4608" max="4608" width="8.33203125" style="186" customWidth="1"/>
    <col min="4609" max="4609" width="5.5" style="186" customWidth="1"/>
    <col min="4610" max="4610" width="2.83203125" style="186" customWidth="1"/>
    <col min="4611" max="4611" width="2" style="186" customWidth="1"/>
    <col min="4612" max="4612" width="6.5" style="186" customWidth="1"/>
    <col min="4613" max="4613" width="8.5" style="186" customWidth="1"/>
    <col min="4614" max="4849" width="9.33203125" style="186"/>
    <col min="4850" max="4850" width="3" style="186" customWidth="1"/>
    <col min="4851" max="4851" width="5.33203125" style="186" customWidth="1"/>
    <col min="4852" max="4852" width="5.6640625" style="186" customWidth="1"/>
    <col min="4853" max="4853" width="22" style="186" customWidth="1"/>
    <col min="4854" max="4855" width="10.5" style="186" customWidth="1"/>
    <col min="4856" max="4856" width="8.33203125" style="186" customWidth="1"/>
    <col min="4857" max="4857" width="10.5" style="186" customWidth="1"/>
    <col min="4858" max="4858" width="9" style="186" customWidth="1"/>
    <col min="4859" max="4862" width="8.33203125" style="186" customWidth="1"/>
    <col min="4863" max="4863" width="9" style="186" customWidth="1"/>
    <col min="4864" max="4864" width="8.33203125" style="186" customWidth="1"/>
    <col min="4865" max="4865" width="5.5" style="186" customWidth="1"/>
    <col min="4866" max="4866" width="2.83203125" style="186" customWidth="1"/>
    <col min="4867" max="4867" width="2" style="186" customWidth="1"/>
    <col min="4868" max="4868" width="6.5" style="186" customWidth="1"/>
    <col min="4869" max="4869" width="8.5" style="186" customWidth="1"/>
    <col min="4870" max="5105" width="9.33203125" style="186"/>
    <col min="5106" max="5106" width="3" style="186" customWidth="1"/>
    <col min="5107" max="5107" width="5.33203125" style="186" customWidth="1"/>
    <col min="5108" max="5108" width="5.6640625" style="186" customWidth="1"/>
    <col min="5109" max="5109" width="22" style="186" customWidth="1"/>
    <col min="5110" max="5111" width="10.5" style="186" customWidth="1"/>
    <col min="5112" max="5112" width="8.33203125" style="186" customWidth="1"/>
    <col min="5113" max="5113" width="10.5" style="186" customWidth="1"/>
    <col min="5114" max="5114" width="9" style="186" customWidth="1"/>
    <col min="5115" max="5118" width="8.33203125" style="186" customWidth="1"/>
    <col min="5119" max="5119" width="9" style="186" customWidth="1"/>
    <col min="5120" max="5120" width="8.33203125" style="186" customWidth="1"/>
    <col min="5121" max="5121" width="5.5" style="186" customWidth="1"/>
    <col min="5122" max="5122" width="2.83203125" style="186" customWidth="1"/>
    <col min="5123" max="5123" width="2" style="186" customWidth="1"/>
    <col min="5124" max="5124" width="6.5" style="186" customWidth="1"/>
    <col min="5125" max="5125" width="8.5" style="186" customWidth="1"/>
    <col min="5126" max="5361" width="9.33203125" style="186"/>
    <col min="5362" max="5362" width="3" style="186" customWidth="1"/>
    <col min="5363" max="5363" width="5.33203125" style="186" customWidth="1"/>
    <col min="5364" max="5364" width="5.6640625" style="186" customWidth="1"/>
    <col min="5365" max="5365" width="22" style="186" customWidth="1"/>
    <col min="5366" max="5367" width="10.5" style="186" customWidth="1"/>
    <col min="5368" max="5368" width="8.33203125" style="186" customWidth="1"/>
    <col min="5369" max="5369" width="10.5" style="186" customWidth="1"/>
    <col min="5370" max="5370" width="9" style="186" customWidth="1"/>
    <col min="5371" max="5374" width="8.33203125" style="186" customWidth="1"/>
    <col min="5375" max="5375" width="9" style="186" customWidth="1"/>
    <col min="5376" max="5376" width="8.33203125" style="186" customWidth="1"/>
    <col min="5377" max="5377" width="5.5" style="186" customWidth="1"/>
    <col min="5378" max="5378" width="2.83203125" style="186" customWidth="1"/>
    <col min="5379" max="5379" width="2" style="186" customWidth="1"/>
    <col min="5380" max="5380" width="6.5" style="186" customWidth="1"/>
    <col min="5381" max="5381" width="8.5" style="186" customWidth="1"/>
    <col min="5382" max="5617" width="9.33203125" style="186"/>
    <col min="5618" max="5618" width="3" style="186" customWidth="1"/>
    <col min="5619" max="5619" width="5.33203125" style="186" customWidth="1"/>
    <col min="5620" max="5620" width="5.6640625" style="186" customWidth="1"/>
    <col min="5621" max="5621" width="22" style="186" customWidth="1"/>
    <col min="5622" max="5623" width="10.5" style="186" customWidth="1"/>
    <col min="5624" max="5624" width="8.33203125" style="186" customWidth="1"/>
    <col min="5625" max="5625" width="10.5" style="186" customWidth="1"/>
    <col min="5626" max="5626" width="9" style="186" customWidth="1"/>
    <col min="5627" max="5630" width="8.33203125" style="186" customWidth="1"/>
    <col min="5631" max="5631" width="9" style="186" customWidth="1"/>
    <col min="5632" max="5632" width="8.33203125" style="186" customWidth="1"/>
    <col min="5633" max="5633" width="5.5" style="186" customWidth="1"/>
    <col min="5634" max="5634" width="2.83203125" style="186" customWidth="1"/>
    <col min="5635" max="5635" width="2" style="186" customWidth="1"/>
    <col min="5636" max="5636" width="6.5" style="186" customWidth="1"/>
    <col min="5637" max="5637" width="8.5" style="186" customWidth="1"/>
    <col min="5638" max="5873" width="9.33203125" style="186"/>
    <col min="5874" max="5874" width="3" style="186" customWidth="1"/>
    <col min="5875" max="5875" width="5.33203125" style="186" customWidth="1"/>
    <col min="5876" max="5876" width="5.6640625" style="186" customWidth="1"/>
    <col min="5877" max="5877" width="22" style="186" customWidth="1"/>
    <col min="5878" max="5879" width="10.5" style="186" customWidth="1"/>
    <col min="5880" max="5880" width="8.33203125" style="186" customWidth="1"/>
    <col min="5881" max="5881" width="10.5" style="186" customWidth="1"/>
    <col min="5882" max="5882" width="9" style="186" customWidth="1"/>
    <col min="5883" max="5886" width="8.33203125" style="186" customWidth="1"/>
    <col min="5887" max="5887" width="9" style="186" customWidth="1"/>
    <col min="5888" max="5888" width="8.33203125" style="186" customWidth="1"/>
    <col min="5889" max="5889" width="5.5" style="186" customWidth="1"/>
    <col min="5890" max="5890" width="2.83203125" style="186" customWidth="1"/>
    <col min="5891" max="5891" width="2" style="186" customWidth="1"/>
    <col min="5892" max="5892" width="6.5" style="186" customWidth="1"/>
    <col min="5893" max="5893" width="8.5" style="186" customWidth="1"/>
    <col min="5894" max="6129" width="9.33203125" style="186"/>
    <col min="6130" max="6130" width="3" style="186" customWidth="1"/>
    <col min="6131" max="6131" width="5.33203125" style="186" customWidth="1"/>
    <col min="6132" max="6132" width="5.6640625" style="186" customWidth="1"/>
    <col min="6133" max="6133" width="22" style="186" customWidth="1"/>
    <col min="6134" max="6135" width="10.5" style="186" customWidth="1"/>
    <col min="6136" max="6136" width="8.33203125" style="186" customWidth="1"/>
    <col min="6137" max="6137" width="10.5" style="186" customWidth="1"/>
    <col min="6138" max="6138" width="9" style="186" customWidth="1"/>
    <col min="6139" max="6142" width="8.33203125" style="186" customWidth="1"/>
    <col min="6143" max="6143" width="9" style="186" customWidth="1"/>
    <col min="6144" max="6144" width="8.33203125" style="186" customWidth="1"/>
    <col min="6145" max="6145" width="5.5" style="186" customWidth="1"/>
    <col min="6146" max="6146" width="2.83203125" style="186" customWidth="1"/>
    <col min="6147" max="6147" width="2" style="186" customWidth="1"/>
    <col min="6148" max="6148" width="6.5" style="186" customWidth="1"/>
    <col min="6149" max="6149" width="8.5" style="186" customWidth="1"/>
    <col min="6150" max="6385" width="9.33203125" style="186"/>
    <col min="6386" max="6386" width="3" style="186" customWidth="1"/>
    <col min="6387" max="6387" width="5.33203125" style="186" customWidth="1"/>
    <col min="6388" max="6388" width="5.6640625" style="186" customWidth="1"/>
    <col min="6389" max="6389" width="22" style="186" customWidth="1"/>
    <col min="6390" max="6391" width="10.5" style="186" customWidth="1"/>
    <col min="6392" max="6392" width="8.33203125" style="186" customWidth="1"/>
    <col min="6393" max="6393" width="10.5" style="186" customWidth="1"/>
    <col min="6394" max="6394" width="9" style="186" customWidth="1"/>
    <col min="6395" max="6398" width="8.33203125" style="186" customWidth="1"/>
    <col min="6399" max="6399" width="9" style="186" customWidth="1"/>
    <col min="6400" max="6400" width="8.33203125" style="186" customWidth="1"/>
    <col min="6401" max="6401" width="5.5" style="186" customWidth="1"/>
    <col min="6402" max="6402" width="2.83203125" style="186" customWidth="1"/>
    <col min="6403" max="6403" width="2" style="186" customWidth="1"/>
    <col min="6404" max="6404" width="6.5" style="186" customWidth="1"/>
    <col min="6405" max="6405" width="8.5" style="186" customWidth="1"/>
    <col min="6406" max="6641" width="9.33203125" style="186"/>
    <col min="6642" max="6642" width="3" style="186" customWidth="1"/>
    <col min="6643" max="6643" width="5.33203125" style="186" customWidth="1"/>
    <col min="6644" max="6644" width="5.6640625" style="186" customWidth="1"/>
    <col min="6645" max="6645" width="22" style="186" customWidth="1"/>
    <col min="6646" max="6647" width="10.5" style="186" customWidth="1"/>
    <col min="6648" max="6648" width="8.33203125" style="186" customWidth="1"/>
    <col min="6649" max="6649" width="10.5" style="186" customWidth="1"/>
    <col min="6650" max="6650" width="9" style="186" customWidth="1"/>
    <col min="6651" max="6654" width="8.33203125" style="186" customWidth="1"/>
    <col min="6655" max="6655" width="9" style="186" customWidth="1"/>
    <col min="6656" max="6656" width="8.33203125" style="186" customWidth="1"/>
    <col min="6657" max="6657" width="5.5" style="186" customWidth="1"/>
    <col min="6658" max="6658" width="2.83203125" style="186" customWidth="1"/>
    <col min="6659" max="6659" width="2" style="186" customWidth="1"/>
    <col min="6660" max="6660" width="6.5" style="186" customWidth="1"/>
    <col min="6661" max="6661" width="8.5" style="186" customWidth="1"/>
    <col min="6662" max="6897" width="9.33203125" style="186"/>
    <col min="6898" max="6898" width="3" style="186" customWidth="1"/>
    <col min="6899" max="6899" width="5.33203125" style="186" customWidth="1"/>
    <col min="6900" max="6900" width="5.6640625" style="186" customWidth="1"/>
    <col min="6901" max="6901" width="22" style="186" customWidth="1"/>
    <col min="6902" max="6903" width="10.5" style="186" customWidth="1"/>
    <col min="6904" max="6904" width="8.33203125" style="186" customWidth="1"/>
    <col min="6905" max="6905" width="10.5" style="186" customWidth="1"/>
    <col min="6906" max="6906" width="9" style="186" customWidth="1"/>
    <col min="6907" max="6910" width="8.33203125" style="186" customWidth="1"/>
    <col min="6911" max="6911" width="9" style="186" customWidth="1"/>
    <col min="6912" max="6912" width="8.33203125" style="186" customWidth="1"/>
    <col min="6913" max="6913" width="5.5" style="186" customWidth="1"/>
    <col min="6914" max="6914" width="2.83203125" style="186" customWidth="1"/>
    <col min="6915" max="6915" width="2" style="186" customWidth="1"/>
    <col min="6916" max="6916" width="6.5" style="186" customWidth="1"/>
    <col min="6917" max="6917" width="8.5" style="186" customWidth="1"/>
    <col min="6918" max="7153" width="9.33203125" style="186"/>
    <col min="7154" max="7154" width="3" style="186" customWidth="1"/>
    <col min="7155" max="7155" width="5.33203125" style="186" customWidth="1"/>
    <col min="7156" max="7156" width="5.6640625" style="186" customWidth="1"/>
    <col min="7157" max="7157" width="22" style="186" customWidth="1"/>
    <col min="7158" max="7159" width="10.5" style="186" customWidth="1"/>
    <col min="7160" max="7160" width="8.33203125" style="186" customWidth="1"/>
    <col min="7161" max="7161" width="10.5" style="186" customWidth="1"/>
    <col min="7162" max="7162" width="9" style="186" customWidth="1"/>
    <col min="7163" max="7166" width="8.33203125" style="186" customWidth="1"/>
    <col min="7167" max="7167" width="9" style="186" customWidth="1"/>
    <col min="7168" max="7168" width="8.33203125" style="186" customWidth="1"/>
    <col min="7169" max="7169" width="5.5" style="186" customWidth="1"/>
    <col min="7170" max="7170" width="2.83203125" style="186" customWidth="1"/>
    <col min="7171" max="7171" width="2" style="186" customWidth="1"/>
    <col min="7172" max="7172" width="6.5" style="186" customWidth="1"/>
    <col min="7173" max="7173" width="8.5" style="186" customWidth="1"/>
    <col min="7174" max="7409" width="9.33203125" style="186"/>
    <col min="7410" max="7410" width="3" style="186" customWidth="1"/>
    <col min="7411" max="7411" width="5.33203125" style="186" customWidth="1"/>
    <col min="7412" max="7412" width="5.6640625" style="186" customWidth="1"/>
    <col min="7413" max="7413" width="22" style="186" customWidth="1"/>
    <col min="7414" max="7415" width="10.5" style="186" customWidth="1"/>
    <col min="7416" max="7416" width="8.33203125" style="186" customWidth="1"/>
    <col min="7417" max="7417" width="10.5" style="186" customWidth="1"/>
    <col min="7418" max="7418" width="9" style="186" customWidth="1"/>
    <col min="7419" max="7422" width="8.33203125" style="186" customWidth="1"/>
    <col min="7423" max="7423" width="9" style="186" customWidth="1"/>
    <col min="7424" max="7424" width="8.33203125" style="186" customWidth="1"/>
    <col min="7425" max="7425" width="5.5" style="186" customWidth="1"/>
    <col min="7426" max="7426" width="2.83203125" style="186" customWidth="1"/>
    <col min="7427" max="7427" width="2" style="186" customWidth="1"/>
    <col min="7428" max="7428" width="6.5" style="186" customWidth="1"/>
    <col min="7429" max="7429" width="8.5" style="186" customWidth="1"/>
    <col min="7430" max="7665" width="9.33203125" style="186"/>
    <col min="7666" max="7666" width="3" style="186" customWidth="1"/>
    <col min="7667" max="7667" width="5.33203125" style="186" customWidth="1"/>
    <col min="7668" max="7668" width="5.6640625" style="186" customWidth="1"/>
    <col min="7669" max="7669" width="22" style="186" customWidth="1"/>
    <col min="7670" max="7671" width="10.5" style="186" customWidth="1"/>
    <col min="7672" max="7672" width="8.33203125" style="186" customWidth="1"/>
    <col min="7673" max="7673" width="10.5" style="186" customWidth="1"/>
    <col min="7674" max="7674" width="9" style="186" customWidth="1"/>
    <col min="7675" max="7678" width="8.33203125" style="186" customWidth="1"/>
    <col min="7679" max="7679" width="9" style="186" customWidth="1"/>
    <col min="7680" max="7680" width="8.33203125" style="186" customWidth="1"/>
    <col min="7681" max="7681" width="5.5" style="186" customWidth="1"/>
    <col min="7682" max="7682" width="2.83203125" style="186" customWidth="1"/>
    <col min="7683" max="7683" width="2" style="186" customWidth="1"/>
    <col min="7684" max="7684" width="6.5" style="186" customWidth="1"/>
    <col min="7685" max="7685" width="8.5" style="186" customWidth="1"/>
    <col min="7686" max="7921" width="9.33203125" style="186"/>
    <col min="7922" max="7922" width="3" style="186" customWidth="1"/>
    <col min="7923" max="7923" width="5.33203125" style="186" customWidth="1"/>
    <col min="7924" max="7924" width="5.6640625" style="186" customWidth="1"/>
    <col min="7925" max="7925" width="22" style="186" customWidth="1"/>
    <col min="7926" max="7927" width="10.5" style="186" customWidth="1"/>
    <col min="7928" max="7928" width="8.33203125" style="186" customWidth="1"/>
    <col min="7929" max="7929" width="10.5" style="186" customWidth="1"/>
    <col min="7930" max="7930" width="9" style="186" customWidth="1"/>
    <col min="7931" max="7934" width="8.33203125" style="186" customWidth="1"/>
    <col min="7935" max="7935" width="9" style="186" customWidth="1"/>
    <col min="7936" max="7936" width="8.33203125" style="186" customWidth="1"/>
    <col min="7937" max="7937" width="5.5" style="186" customWidth="1"/>
    <col min="7938" max="7938" width="2.83203125" style="186" customWidth="1"/>
    <col min="7939" max="7939" width="2" style="186" customWidth="1"/>
    <col min="7940" max="7940" width="6.5" style="186" customWidth="1"/>
    <col min="7941" max="7941" width="8.5" style="186" customWidth="1"/>
    <col min="7942" max="8177" width="9.33203125" style="186"/>
    <col min="8178" max="8178" width="3" style="186" customWidth="1"/>
    <col min="8179" max="8179" width="5.33203125" style="186" customWidth="1"/>
    <col min="8180" max="8180" width="5.6640625" style="186" customWidth="1"/>
    <col min="8181" max="8181" width="22" style="186" customWidth="1"/>
    <col min="8182" max="8183" width="10.5" style="186" customWidth="1"/>
    <col min="8184" max="8184" width="8.33203125" style="186" customWidth="1"/>
    <col min="8185" max="8185" width="10.5" style="186" customWidth="1"/>
    <col min="8186" max="8186" width="9" style="186" customWidth="1"/>
    <col min="8187" max="8190" width="8.33203125" style="186" customWidth="1"/>
    <col min="8191" max="8191" width="9" style="186" customWidth="1"/>
    <col min="8192" max="8192" width="8.33203125" style="186" customWidth="1"/>
    <col min="8193" max="8193" width="5.5" style="186" customWidth="1"/>
    <col min="8194" max="8194" width="2.83203125" style="186" customWidth="1"/>
    <col min="8195" max="8195" width="2" style="186" customWidth="1"/>
    <col min="8196" max="8196" width="6.5" style="186" customWidth="1"/>
    <col min="8197" max="8197" width="8.5" style="186" customWidth="1"/>
    <col min="8198" max="8433" width="9.33203125" style="186"/>
    <col min="8434" max="8434" width="3" style="186" customWidth="1"/>
    <col min="8435" max="8435" width="5.33203125" style="186" customWidth="1"/>
    <col min="8436" max="8436" width="5.6640625" style="186" customWidth="1"/>
    <col min="8437" max="8437" width="22" style="186" customWidth="1"/>
    <col min="8438" max="8439" width="10.5" style="186" customWidth="1"/>
    <col min="8440" max="8440" width="8.33203125" style="186" customWidth="1"/>
    <col min="8441" max="8441" width="10.5" style="186" customWidth="1"/>
    <col min="8442" max="8442" width="9" style="186" customWidth="1"/>
    <col min="8443" max="8446" width="8.33203125" style="186" customWidth="1"/>
    <col min="8447" max="8447" width="9" style="186" customWidth="1"/>
    <col min="8448" max="8448" width="8.33203125" style="186" customWidth="1"/>
    <col min="8449" max="8449" width="5.5" style="186" customWidth="1"/>
    <col min="8450" max="8450" width="2.83203125" style="186" customWidth="1"/>
    <col min="8451" max="8451" width="2" style="186" customWidth="1"/>
    <col min="8452" max="8452" width="6.5" style="186" customWidth="1"/>
    <col min="8453" max="8453" width="8.5" style="186" customWidth="1"/>
    <col min="8454" max="8689" width="9.33203125" style="186"/>
    <col min="8690" max="8690" width="3" style="186" customWidth="1"/>
    <col min="8691" max="8691" width="5.33203125" style="186" customWidth="1"/>
    <col min="8692" max="8692" width="5.6640625" style="186" customWidth="1"/>
    <col min="8693" max="8693" width="22" style="186" customWidth="1"/>
    <col min="8694" max="8695" width="10.5" style="186" customWidth="1"/>
    <col min="8696" max="8696" width="8.33203125" style="186" customWidth="1"/>
    <col min="8697" max="8697" width="10.5" style="186" customWidth="1"/>
    <col min="8698" max="8698" width="9" style="186" customWidth="1"/>
    <col min="8699" max="8702" width="8.33203125" style="186" customWidth="1"/>
    <col min="8703" max="8703" width="9" style="186" customWidth="1"/>
    <col min="8704" max="8704" width="8.33203125" style="186" customWidth="1"/>
    <col min="8705" max="8705" width="5.5" style="186" customWidth="1"/>
    <col min="8706" max="8706" width="2.83203125" style="186" customWidth="1"/>
    <col min="8707" max="8707" width="2" style="186" customWidth="1"/>
    <col min="8708" max="8708" width="6.5" style="186" customWidth="1"/>
    <col min="8709" max="8709" width="8.5" style="186" customWidth="1"/>
    <col min="8710" max="8945" width="9.33203125" style="186"/>
    <col min="8946" max="8946" width="3" style="186" customWidth="1"/>
    <col min="8947" max="8947" width="5.33203125" style="186" customWidth="1"/>
    <col min="8948" max="8948" width="5.6640625" style="186" customWidth="1"/>
    <col min="8949" max="8949" width="22" style="186" customWidth="1"/>
    <col min="8950" max="8951" width="10.5" style="186" customWidth="1"/>
    <col min="8952" max="8952" width="8.33203125" style="186" customWidth="1"/>
    <col min="8953" max="8953" width="10.5" style="186" customWidth="1"/>
    <col min="8954" max="8954" width="9" style="186" customWidth="1"/>
    <col min="8955" max="8958" width="8.33203125" style="186" customWidth="1"/>
    <col min="8959" max="8959" width="9" style="186" customWidth="1"/>
    <col min="8960" max="8960" width="8.33203125" style="186" customWidth="1"/>
    <col min="8961" max="8961" width="5.5" style="186" customWidth="1"/>
    <col min="8962" max="8962" width="2.83203125" style="186" customWidth="1"/>
    <col min="8963" max="8963" width="2" style="186" customWidth="1"/>
    <col min="8964" max="8964" width="6.5" style="186" customWidth="1"/>
    <col min="8965" max="8965" width="8.5" style="186" customWidth="1"/>
    <col min="8966" max="9201" width="9.33203125" style="186"/>
    <col min="9202" max="9202" width="3" style="186" customWidth="1"/>
    <col min="9203" max="9203" width="5.33203125" style="186" customWidth="1"/>
    <col min="9204" max="9204" width="5.6640625" style="186" customWidth="1"/>
    <col min="9205" max="9205" width="22" style="186" customWidth="1"/>
    <col min="9206" max="9207" width="10.5" style="186" customWidth="1"/>
    <col min="9208" max="9208" width="8.33203125" style="186" customWidth="1"/>
    <col min="9209" max="9209" width="10.5" style="186" customWidth="1"/>
    <col min="9210" max="9210" width="9" style="186" customWidth="1"/>
    <col min="9211" max="9214" width="8.33203125" style="186" customWidth="1"/>
    <col min="9215" max="9215" width="9" style="186" customWidth="1"/>
    <col min="9216" max="9216" width="8.33203125" style="186" customWidth="1"/>
    <col min="9217" max="9217" width="5.5" style="186" customWidth="1"/>
    <col min="9218" max="9218" width="2.83203125" style="186" customWidth="1"/>
    <col min="9219" max="9219" width="2" style="186" customWidth="1"/>
    <col min="9220" max="9220" width="6.5" style="186" customWidth="1"/>
    <col min="9221" max="9221" width="8.5" style="186" customWidth="1"/>
    <col min="9222" max="9457" width="9.33203125" style="186"/>
    <col min="9458" max="9458" width="3" style="186" customWidth="1"/>
    <col min="9459" max="9459" width="5.33203125" style="186" customWidth="1"/>
    <col min="9460" max="9460" width="5.6640625" style="186" customWidth="1"/>
    <col min="9461" max="9461" width="22" style="186" customWidth="1"/>
    <col min="9462" max="9463" width="10.5" style="186" customWidth="1"/>
    <col min="9464" max="9464" width="8.33203125" style="186" customWidth="1"/>
    <col min="9465" max="9465" width="10.5" style="186" customWidth="1"/>
    <col min="9466" max="9466" width="9" style="186" customWidth="1"/>
    <col min="9467" max="9470" width="8.33203125" style="186" customWidth="1"/>
    <col min="9471" max="9471" width="9" style="186" customWidth="1"/>
    <col min="9472" max="9472" width="8.33203125" style="186" customWidth="1"/>
    <col min="9473" max="9473" width="5.5" style="186" customWidth="1"/>
    <col min="9474" max="9474" width="2.83203125" style="186" customWidth="1"/>
    <col min="9475" max="9475" width="2" style="186" customWidth="1"/>
    <col min="9476" max="9476" width="6.5" style="186" customWidth="1"/>
    <col min="9477" max="9477" width="8.5" style="186" customWidth="1"/>
    <col min="9478" max="9713" width="9.33203125" style="186"/>
    <col min="9714" max="9714" width="3" style="186" customWidth="1"/>
    <col min="9715" max="9715" width="5.33203125" style="186" customWidth="1"/>
    <col min="9716" max="9716" width="5.6640625" style="186" customWidth="1"/>
    <col min="9717" max="9717" width="22" style="186" customWidth="1"/>
    <col min="9718" max="9719" width="10.5" style="186" customWidth="1"/>
    <col min="9720" max="9720" width="8.33203125" style="186" customWidth="1"/>
    <col min="9721" max="9721" width="10.5" style="186" customWidth="1"/>
    <col min="9722" max="9722" width="9" style="186" customWidth="1"/>
    <col min="9723" max="9726" width="8.33203125" style="186" customWidth="1"/>
    <col min="9727" max="9727" width="9" style="186" customWidth="1"/>
    <col min="9728" max="9728" width="8.33203125" style="186" customWidth="1"/>
    <col min="9729" max="9729" width="5.5" style="186" customWidth="1"/>
    <col min="9730" max="9730" width="2.83203125" style="186" customWidth="1"/>
    <col min="9731" max="9731" width="2" style="186" customWidth="1"/>
    <col min="9732" max="9732" width="6.5" style="186" customWidth="1"/>
    <col min="9733" max="9733" width="8.5" style="186" customWidth="1"/>
    <col min="9734" max="9969" width="9.33203125" style="186"/>
    <col min="9970" max="9970" width="3" style="186" customWidth="1"/>
    <col min="9971" max="9971" width="5.33203125" style="186" customWidth="1"/>
    <col min="9972" max="9972" width="5.6640625" style="186" customWidth="1"/>
    <col min="9973" max="9973" width="22" style="186" customWidth="1"/>
    <col min="9974" max="9975" width="10.5" style="186" customWidth="1"/>
    <col min="9976" max="9976" width="8.33203125" style="186" customWidth="1"/>
    <col min="9977" max="9977" width="10.5" style="186" customWidth="1"/>
    <col min="9978" max="9978" width="9" style="186" customWidth="1"/>
    <col min="9979" max="9982" width="8.33203125" style="186" customWidth="1"/>
    <col min="9983" max="9983" width="9" style="186" customWidth="1"/>
    <col min="9984" max="9984" width="8.33203125" style="186" customWidth="1"/>
    <col min="9985" max="9985" width="5.5" style="186" customWidth="1"/>
    <col min="9986" max="9986" width="2.83203125" style="186" customWidth="1"/>
    <col min="9987" max="9987" width="2" style="186" customWidth="1"/>
    <col min="9988" max="9988" width="6.5" style="186" customWidth="1"/>
    <col min="9989" max="9989" width="8.5" style="186" customWidth="1"/>
    <col min="9990" max="10225" width="9.33203125" style="186"/>
    <col min="10226" max="10226" width="3" style="186" customWidth="1"/>
    <col min="10227" max="10227" width="5.33203125" style="186" customWidth="1"/>
    <col min="10228" max="10228" width="5.6640625" style="186" customWidth="1"/>
    <col min="10229" max="10229" width="22" style="186" customWidth="1"/>
    <col min="10230" max="10231" width="10.5" style="186" customWidth="1"/>
    <col min="10232" max="10232" width="8.33203125" style="186" customWidth="1"/>
    <col min="10233" max="10233" width="10.5" style="186" customWidth="1"/>
    <col min="10234" max="10234" width="9" style="186" customWidth="1"/>
    <col min="10235" max="10238" width="8.33203125" style="186" customWidth="1"/>
    <col min="10239" max="10239" width="9" style="186" customWidth="1"/>
    <col min="10240" max="10240" width="8.33203125" style="186" customWidth="1"/>
    <col min="10241" max="10241" width="5.5" style="186" customWidth="1"/>
    <col min="10242" max="10242" width="2.83203125" style="186" customWidth="1"/>
    <col min="10243" max="10243" width="2" style="186" customWidth="1"/>
    <col min="10244" max="10244" width="6.5" style="186" customWidth="1"/>
    <col min="10245" max="10245" width="8.5" style="186" customWidth="1"/>
    <col min="10246" max="10481" width="9.33203125" style="186"/>
    <col min="10482" max="10482" width="3" style="186" customWidth="1"/>
    <col min="10483" max="10483" width="5.33203125" style="186" customWidth="1"/>
    <col min="10484" max="10484" width="5.6640625" style="186" customWidth="1"/>
    <col min="10485" max="10485" width="22" style="186" customWidth="1"/>
    <col min="10486" max="10487" width="10.5" style="186" customWidth="1"/>
    <col min="10488" max="10488" width="8.33203125" style="186" customWidth="1"/>
    <col min="10489" max="10489" width="10.5" style="186" customWidth="1"/>
    <col min="10490" max="10490" width="9" style="186" customWidth="1"/>
    <col min="10491" max="10494" width="8.33203125" style="186" customWidth="1"/>
    <col min="10495" max="10495" width="9" style="186" customWidth="1"/>
    <col min="10496" max="10496" width="8.33203125" style="186" customWidth="1"/>
    <col min="10497" max="10497" width="5.5" style="186" customWidth="1"/>
    <col min="10498" max="10498" width="2.83203125" style="186" customWidth="1"/>
    <col min="10499" max="10499" width="2" style="186" customWidth="1"/>
    <col min="10500" max="10500" width="6.5" style="186" customWidth="1"/>
    <col min="10501" max="10501" width="8.5" style="186" customWidth="1"/>
    <col min="10502" max="10737" width="9.33203125" style="186"/>
    <col min="10738" max="10738" width="3" style="186" customWidth="1"/>
    <col min="10739" max="10739" width="5.33203125" style="186" customWidth="1"/>
    <col min="10740" max="10740" width="5.6640625" style="186" customWidth="1"/>
    <col min="10741" max="10741" width="22" style="186" customWidth="1"/>
    <col min="10742" max="10743" width="10.5" style="186" customWidth="1"/>
    <col min="10744" max="10744" width="8.33203125" style="186" customWidth="1"/>
    <col min="10745" max="10745" width="10.5" style="186" customWidth="1"/>
    <col min="10746" max="10746" width="9" style="186" customWidth="1"/>
    <col min="10747" max="10750" width="8.33203125" style="186" customWidth="1"/>
    <col min="10751" max="10751" width="9" style="186" customWidth="1"/>
    <col min="10752" max="10752" width="8.33203125" style="186" customWidth="1"/>
    <col min="10753" max="10753" width="5.5" style="186" customWidth="1"/>
    <col min="10754" max="10754" width="2.83203125" style="186" customWidth="1"/>
    <col min="10755" max="10755" width="2" style="186" customWidth="1"/>
    <col min="10756" max="10756" width="6.5" style="186" customWidth="1"/>
    <col min="10757" max="10757" width="8.5" style="186" customWidth="1"/>
    <col min="10758" max="10993" width="9.33203125" style="186"/>
    <col min="10994" max="10994" width="3" style="186" customWidth="1"/>
    <col min="10995" max="10995" width="5.33203125" style="186" customWidth="1"/>
    <col min="10996" max="10996" width="5.6640625" style="186" customWidth="1"/>
    <col min="10997" max="10997" width="22" style="186" customWidth="1"/>
    <col min="10998" max="10999" width="10.5" style="186" customWidth="1"/>
    <col min="11000" max="11000" width="8.33203125" style="186" customWidth="1"/>
    <col min="11001" max="11001" width="10.5" style="186" customWidth="1"/>
    <col min="11002" max="11002" width="9" style="186" customWidth="1"/>
    <col min="11003" max="11006" width="8.33203125" style="186" customWidth="1"/>
    <col min="11007" max="11007" width="9" style="186" customWidth="1"/>
    <col min="11008" max="11008" width="8.33203125" style="186" customWidth="1"/>
    <col min="11009" max="11009" width="5.5" style="186" customWidth="1"/>
    <col min="11010" max="11010" width="2.83203125" style="186" customWidth="1"/>
    <col min="11011" max="11011" width="2" style="186" customWidth="1"/>
    <col min="11012" max="11012" width="6.5" style="186" customWidth="1"/>
    <col min="11013" max="11013" width="8.5" style="186" customWidth="1"/>
    <col min="11014" max="11249" width="9.33203125" style="186"/>
    <col min="11250" max="11250" width="3" style="186" customWidth="1"/>
    <col min="11251" max="11251" width="5.33203125" style="186" customWidth="1"/>
    <col min="11252" max="11252" width="5.6640625" style="186" customWidth="1"/>
    <col min="11253" max="11253" width="22" style="186" customWidth="1"/>
    <col min="11254" max="11255" width="10.5" style="186" customWidth="1"/>
    <col min="11256" max="11256" width="8.33203125" style="186" customWidth="1"/>
    <col min="11257" max="11257" width="10.5" style="186" customWidth="1"/>
    <col min="11258" max="11258" width="9" style="186" customWidth="1"/>
    <col min="11259" max="11262" width="8.33203125" style="186" customWidth="1"/>
    <col min="11263" max="11263" width="9" style="186" customWidth="1"/>
    <col min="11264" max="11264" width="8.33203125" style="186" customWidth="1"/>
    <col min="11265" max="11265" width="5.5" style="186" customWidth="1"/>
    <col min="11266" max="11266" width="2.83203125" style="186" customWidth="1"/>
    <col min="11267" max="11267" width="2" style="186" customWidth="1"/>
    <col min="11268" max="11268" width="6.5" style="186" customWidth="1"/>
    <col min="11269" max="11269" width="8.5" style="186" customWidth="1"/>
    <col min="11270" max="11505" width="9.33203125" style="186"/>
    <col min="11506" max="11506" width="3" style="186" customWidth="1"/>
    <col min="11507" max="11507" width="5.33203125" style="186" customWidth="1"/>
    <col min="11508" max="11508" width="5.6640625" style="186" customWidth="1"/>
    <col min="11509" max="11509" width="22" style="186" customWidth="1"/>
    <col min="11510" max="11511" width="10.5" style="186" customWidth="1"/>
    <col min="11512" max="11512" width="8.33203125" style="186" customWidth="1"/>
    <col min="11513" max="11513" width="10.5" style="186" customWidth="1"/>
    <col min="11514" max="11514" width="9" style="186" customWidth="1"/>
    <col min="11515" max="11518" width="8.33203125" style="186" customWidth="1"/>
    <col min="11519" max="11519" width="9" style="186" customWidth="1"/>
    <col min="11520" max="11520" width="8.33203125" style="186" customWidth="1"/>
    <col min="11521" max="11521" width="5.5" style="186" customWidth="1"/>
    <col min="11522" max="11522" width="2.83203125" style="186" customWidth="1"/>
    <col min="11523" max="11523" width="2" style="186" customWidth="1"/>
    <col min="11524" max="11524" width="6.5" style="186" customWidth="1"/>
    <col min="11525" max="11525" width="8.5" style="186" customWidth="1"/>
    <col min="11526" max="11761" width="9.33203125" style="186"/>
    <col min="11762" max="11762" width="3" style="186" customWidth="1"/>
    <col min="11763" max="11763" width="5.33203125" style="186" customWidth="1"/>
    <col min="11764" max="11764" width="5.6640625" style="186" customWidth="1"/>
    <col min="11765" max="11765" width="22" style="186" customWidth="1"/>
    <col min="11766" max="11767" width="10.5" style="186" customWidth="1"/>
    <col min="11768" max="11768" width="8.33203125" style="186" customWidth="1"/>
    <col min="11769" max="11769" width="10.5" style="186" customWidth="1"/>
    <col min="11770" max="11770" width="9" style="186" customWidth="1"/>
    <col min="11771" max="11774" width="8.33203125" style="186" customWidth="1"/>
    <col min="11775" max="11775" width="9" style="186" customWidth="1"/>
    <col min="11776" max="11776" width="8.33203125" style="186" customWidth="1"/>
    <col min="11777" max="11777" width="5.5" style="186" customWidth="1"/>
    <col min="11778" max="11778" width="2.83203125" style="186" customWidth="1"/>
    <col min="11779" max="11779" width="2" style="186" customWidth="1"/>
    <col min="11780" max="11780" width="6.5" style="186" customWidth="1"/>
    <col min="11781" max="11781" width="8.5" style="186" customWidth="1"/>
    <col min="11782" max="12017" width="9.33203125" style="186"/>
    <col min="12018" max="12018" width="3" style="186" customWidth="1"/>
    <col min="12019" max="12019" width="5.33203125" style="186" customWidth="1"/>
    <col min="12020" max="12020" width="5.6640625" style="186" customWidth="1"/>
    <col min="12021" max="12021" width="22" style="186" customWidth="1"/>
    <col min="12022" max="12023" width="10.5" style="186" customWidth="1"/>
    <col min="12024" max="12024" width="8.33203125" style="186" customWidth="1"/>
    <col min="12025" max="12025" width="10.5" style="186" customWidth="1"/>
    <col min="12026" max="12026" width="9" style="186" customWidth="1"/>
    <col min="12027" max="12030" width="8.33203125" style="186" customWidth="1"/>
    <col min="12031" max="12031" width="9" style="186" customWidth="1"/>
    <col min="12032" max="12032" width="8.33203125" style="186" customWidth="1"/>
    <col min="12033" max="12033" width="5.5" style="186" customWidth="1"/>
    <col min="12034" max="12034" width="2.83203125" style="186" customWidth="1"/>
    <col min="12035" max="12035" width="2" style="186" customWidth="1"/>
    <col min="12036" max="12036" width="6.5" style="186" customWidth="1"/>
    <col min="12037" max="12037" width="8.5" style="186" customWidth="1"/>
    <col min="12038" max="12273" width="9.33203125" style="186"/>
    <col min="12274" max="12274" width="3" style="186" customWidth="1"/>
    <col min="12275" max="12275" width="5.33203125" style="186" customWidth="1"/>
    <col min="12276" max="12276" width="5.6640625" style="186" customWidth="1"/>
    <col min="12277" max="12277" width="22" style="186" customWidth="1"/>
    <col min="12278" max="12279" width="10.5" style="186" customWidth="1"/>
    <col min="12280" max="12280" width="8.33203125" style="186" customWidth="1"/>
    <col min="12281" max="12281" width="10.5" style="186" customWidth="1"/>
    <col min="12282" max="12282" width="9" style="186" customWidth="1"/>
    <col min="12283" max="12286" width="8.33203125" style="186" customWidth="1"/>
    <col min="12287" max="12287" width="9" style="186" customWidth="1"/>
    <col min="12288" max="12288" width="8.33203125" style="186" customWidth="1"/>
    <col min="12289" max="12289" width="5.5" style="186" customWidth="1"/>
    <col min="12290" max="12290" width="2.83203125" style="186" customWidth="1"/>
    <col min="12291" max="12291" width="2" style="186" customWidth="1"/>
    <col min="12292" max="12292" width="6.5" style="186" customWidth="1"/>
    <col min="12293" max="12293" width="8.5" style="186" customWidth="1"/>
    <col min="12294" max="12529" width="9.33203125" style="186"/>
    <col min="12530" max="12530" width="3" style="186" customWidth="1"/>
    <col min="12531" max="12531" width="5.33203125" style="186" customWidth="1"/>
    <col min="12532" max="12532" width="5.6640625" style="186" customWidth="1"/>
    <col min="12533" max="12533" width="22" style="186" customWidth="1"/>
    <col min="12534" max="12535" width="10.5" style="186" customWidth="1"/>
    <col min="12536" max="12536" width="8.33203125" style="186" customWidth="1"/>
    <col min="12537" max="12537" width="10.5" style="186" customWidth="1"/>
    <col min="12538" max="12538" width="9" style="186" customWidth="1"/>
    <col min="12539" max="12542" width="8.33203125" style="186" customWidth="1"/>
    <col min="12543" max="12543" width="9" style="186" customWidth="1"/>
    <col min="12544" max="12544" width="8.33203125" style="186" customWidth="1"/>
    <col min="12545" max="12545" width="5.5" style="186" customWidth="1"/>
    <col min="12546" max="12546" width="2.83203125" style="186" customWidth="1"/>
    <col min="12547" max="12547" width="2" style="186" customWidth="1"/>
    <col min="12548" max="12548" width="6.5" style="186" customWidth="1"/>
    <col min="12549" max="12549" width="8.5" style="186" customWidth="1"/>
    <col min="12550" max="12785" width="9.33203125" style="186"/>
    <col min="12786" max="12786" width="3" style="186" customWidth="1"/>
    <col min="12787" max="12787" width="5.33203125" style="186" customWidth="1"/>
    <col min="12788" max="12788" width="5.6640625" style="186" customWidth="1"/>
    <col min="12789" max="12789" width="22" style="186" customWidth="1"/>
    <col min="12790" max="12791" width="10.5" style="186" customWidth="1"/>
    <col min="12792" max="12792" width="8.33203125" style="186" customWidth="1"/>
    <col min="12793" max="12793" width="10.5" style="186" customWidth="1"/>
    <col min="12794" max="12794" width="9" style="186" customWidth="1"/>
    <col min="12795" max="12798" width="8.33203125" style="186" customWidth="1"/>
    <col min="12799" max="12799" width="9" style="186" customWidth="1"/>
    <col min="12800" max="12800" width="8.33203125" style="186" customWidth="1"/>
    <col min="12801" max="12801" width="5.5" style="186" customWidth="1"/>
    <col min="12802" max="12802" width="2.83203125" style="186" customWidth="1"/>
    <col min="12803" max="12803" width="2" style="186" customWidth="1"/>
    <col min="12804" max="12804" width="6.5" style="186" customWidth="1"/>
    <col min="12805" max="12805" width="8.5" style="186" customWidth="1"/>
    <col min="12806" max="13041" width="9.33203125" style="186"/>
    <col min="13042" max="13042" width="3" style="186" customWidth="1"/>
    <col min="13043" max="13043" width="5.33203125" style="186" customWidth="1"/>
    <col min="13044" max="13044" width="5.6640625" style="186" customWidth="1"/>
    <col min="13045" max="13045" width="22" style="186" customWidth="1"/>
    <col min="13046" max="13047" width="10.5" style="186" customWidth="1"/>
    <col min="13048" max="13048" width="8.33203125" style="186" customWidth="1"/>
    <col min="13049" max="13049" width="10.5" style="186" customWidth="1"/>
    <col min="13050" max="13050" width="9" style="186" customWidth="1"/>
    <col min="13051" max="13054" width="8.33203125" style="186" customWidth="1"/>
    <col min="13055" max="13055" width="9" style="186" customWidth="1"/>
    <col min="13056" max="13056" width="8.33203125" style="186" customWidth="1"/>
    <col min="13057" max="13057" width="5.5" style="186" customWidth="1"/>
    <col min="13058" max="13058" width="2.83203125" style="186" customWidth="1"/>
    <col min="13059" max="13059" width="2" style="186" customWidth="1"/>
    <col min="13060" max="13060" width="6.5" style="186" customWidth="1"/>
    <col min="13061" max="13061" width="8.5" style="186" customWidth="1"/>
    <col min="13062" max="13297" width="9.33203125" style="186"/>
    <col min="13298" max="13298" width="3" style="186" customWidth="1"/>
    <col min="13299" max="13299" width="5.33203125" style="186" customWidth="1"/>
    <col min="13300" max="13300" width="5.6640625" style="186" customWidth="1"/>
    <col min="13301" max="13301" width="22" style="186" customWidth="1"/>
    <col min="13302" max="13303" width="10.5" style="186" customWidth="1"/>
    <col min="13304" max="13304" width="8.33203125" style="186" customWidth="1"/>
    <col min="13305" max="13305" width="10.5" style="186" customWidth="1"/>
    <col min="13306" max="13306" width="9" style="186" customWidth="1"/>
    <col min="13307" max="13310" width="8.33203125" style="186" customWidth="1"/>
    <col min="13311" max="13311" width="9" style="186" customWidth="1"/>
    <col min="13312" max="13312" width="8.33203125" style="186" customWidth="1"/>
    <col min="13313" max="13313" width="5.5" style="186" customWidth="1"/>
    <col min="13314" max="13314" width="2.83203125" style="186" customWidth="1"/>
    <col min="13315" max="13315" width="2" style="186" customWidth="1"/>
    <col min="13316" max="13316" width="6.5" style="186" customWidth="1"/>
    <col min="13317" max="13317" width="8.5" style="186" customWidth="1"/>
    <col min="13318" max="13553" width="9.33203125" style="186"/>
    <col min="13554" max="13554" width="3" style="186" customWidth="1"/>
    <col min="13555" max="13555" width="5.33203125" style="186" customWidth="1"/>
    <col min="13556" max="13556" width="5.6640625" style="186" customWidth="1"/>
    <col min="13557" max="13557" width="22" style="186" customWidth="1"/>
    <col min="13558" max="13559" width="10.5" style="186" customWidth="1"/>
    <col min="13560" max="13560" width="8.33203125" style="186" customWidth="1"/>
    <col min="13561" max="13561" width="10.5" style="186" customWidth="1"/>
    <col min="13562" max="13562" width="9" style="186" customWidth="1"/>
    <col min="13563" max="13566" width="8.33203125" style="186" customWidth="1"/>
    <col min="13567" max="13567" width="9" style="186" customWidth="1"/>
    <col min="13568" max="13568" width="8.33203125" style="186" customWidth="1"/>
    <col min="13569" max="13569" width="5.5" style="186" customWidth="1"/>
    <col min="13570" max="13570" width="2.83203125" style="186" customWidth="1"/>
    <col min="13571" max="13571" width="2" style="186" customWidth="1"/>
    <col min="13572" max="13572" width="6.5" style="186" customWidth="1"/>
    <col min="13573" max="13573" width="8.5" style="186" customWidth="1"/>
    <col min="13574" max="13809" width="9.33203125" style="186"/>
    <col min="13810" max="13810" width="3" style="186" customWidth="1"/>
    <col min="13811" max="13811" width="5.33203125" style="186" customWidth="1"/>
    <col min="13812" max="13812" width="5.6640625" style="186" customWidth="1"/>
    <col min="13813" max="13813" width="22" style="186" customWidth="1"/>
    <col min="13814" max="13815" width="10.5" style="186" customWidth="1"/>
    <col min="13816" max="13816" width="8.33203125" style="186" customWidth="1"/>
    <col min="13817" max="13817" width="10.5" style="186" customWidth="1"/>
    <col min="13818" max="13818" width="9" style="186" customWidth="1"/>
    <col min="13819" max="13822" width="8.33203125" style="186" customWidth="1"/>
    <col min="13823" max="13823" width="9" style="186" customWidth="1"/>
    <col min="13824" max="13824" width="8.33203125" style="186" customWidth="1"/>
    <col min="13825" max="13825" width="5.5" style="186" customWidth="1"/>
    <col min="13826" max="13826" width="2.83203125" style="186" customWidth="1"/>
    <col min="13827" max="13827" width="2" style="186" customWidth="1"/>
    <col min="13828" max="13828" width="6.5" style="186" customWidth="1"/>
    <col min="13829" max="13829" width="8.5" style="186" customWidth="1"/>
    <col min="13830" max="14065" width="9.33203125" style="186"/>
    <col min="14066" max="14066" width="3" style="186" customWidth="1"/>
    <col min="14067" max="14067" width="5.33203125" style="186" customWidth="1"/>
    <col min="14068" max="14068" width="5.6640625" style="186" customWidth="1"/>
    <col min="14069" max="14069" width="22" style="186" customWidth="1"/>
    <col min="14070" max="14071" width="10.5" style="186" customWidth="1"/>
    <col min="14072" max="14072" width="8.33203125" style="186" customWidth="1"/>
    <col min="14073" max="14073" width="10.5" style="186" customWidth="1"/>
    <col min="14074" max="14074" width="9" style="186" customWidth="1"/>
    <col min="14075" max="14078" width="8.33203125" style="186" customWidth="1"/>
    <col min="14079" max="14079" width="9" style="186" customWidth="1"/>
    <col min="14080" max="14080" width="8.33203125" style="186" customWidth="1"/>
    <col min="14081" max="14081" width="5.5" style="186" customWidth="1"/>
    <col min="14082" max="14082" width="2.83203125" style="186" customWidth="1"/>
    <col min="14083" max="14083" width="2" style="186" customWidth="1"/>
    <col min="14084" max="14084" width="6.5" style="186" customWidth="1"/>
    <col min="14085" max="14085" width="8.5" style="186" customWidth="1"/>
    <col min="14086" max="14321" width="9.33203125" style="186"/>
    <col min="14322" max="14322" width="3" style="186" customWidth="1"/>
    <col min="14323" max="14323" width="5.33203125" style="186" customWidth="1"/>
    <col min="14324" max="14324" width="5.6640625" style="186" customWidth="1"/>
    <col min="14325" max="14325" width="22" style="186" customWidth="1"/>
    <col min="14326" max="14327" width="10.5" style="186" customWidth="1"/>
    <col min="14328" max="14328" width="8.33203125" style="186" customWidth="1"/>
    <col min="14329" max="14329" width="10.5" style="186" customWidth="1"/>
    <col min="14330" max="14330" width="9" style="186" customWidth="1"/>
    <col min="14331" max="14334" width="8.33203125" style="186" customWidth="1"/>
    <col min="14335" max="14335" width="9" style="186" customWidth="1"/>
    <col min="14336" max="14336" width="8.33203125" style="186" customWidth="1"/>
    <col min="14337" max="14337" width="5.5" style="186" customWidth="1"/>
    <col min="14338" max="14338" width="2.83203125" style="186" customWidth="1"/>
    <col min="14339" max="14339" width="2" style="186" customWidth="1"/>
    <col min="14340" max="14340" width="6.5" style="186" customWidth="1"/>
    <col min="14341" max="14341" width="8.5" style="186" customWidth="1"/>
    <col min="14342" max="14577" width="9.33203125" style="186"/>
    <col min="14578" max="14578" width="3" style="186" customWidth="1"/>
    <col min="14579" max="14579" width="5.33203125" style="186" customWidth="1"/>
    <col min="14580" max="14580" width="5.6640625" style="186" customWidth="1"/>
    <col min="14581" max="14581" width="22" style="186" customWidth="1"/>
    <col min="14582" max="14583" width="10.5" style="186" customWidth="1"/>
    <col min="14584" max="14584" width="8.33203125" style="186" customWidth="1"/>
    <col min="14585" max="14585" width="10.5" style="186" customWidth="1"/>
    <col min="14586" max="14586" width="9" style="186" customWidth="1"/>
    <col min="14587" max="14590" width="8.33203125" style="186" customWidth="1"/>
    <col min="14591" max="14591" width="9" style="186" customWidth="1"/>
    <col min="14592" max="14592" width="8.33203125" style="186" customWidth="1"/>
    <col min="14593" max="14593" width="5.5" style="186" customWidth="1"/>
    <col min="14594" max="14594" width="2.83203125" style="186" customWidth="1"/>
    <col min="14595" max="14595" width="2" style="186" customWidth="1"/>
    <col min="14596" max="14596" width="6.5" style="186" customWidth="1"/>
    <col min="14597" max="14597" width="8.5" style="186" customWidth="1"/>
    <col min="14598" max="14833" width="9.33203125" style="186"/>
    <col min="14834" max="14834" width="3" style="186" customWidth="1"/>
    <col min="14835" max="14835" width="5.33203125" style="186" customWidth="1"/>
    <col min="14836" max="14836" width="5.6640625" style="186" customWidth="1"/>
    <col min="14837" max="14837" width="22" style="186" customWidth="1"/>
    <col min="14838" max="14839" width="10.5" style="186" customWidth="1"/>
    <col min="14840" max="14840" width="8.33203125" style="186" customWidth="1"/>
    <col min="14841" max="14841" width="10.5" style="186" customWidth="1"/>
    <col min="14842" max="14842" width="9" style="186" customWidth="1"/>
    <col min="14843" max="14846" width="8.33203125" style="186" customWidth="1"/>
    <col min="14847" max="14847" width="9" style="186" customWidth="1"/>
    <col min="14848" max="14848" width="8.33203125" style="186" customWidth="1"/>
    <col min="14849" max="14849" width="5.5" style="186" customWidth="1"/>
    <col min="14850" max="14850" width="2.83203125" style="186" customWidth="1"/>
    <col min="14851" max="14851" width="2" style="186" customWidth="1"/>
    <col min="14852" max="14852" width="6.5" style="186" customWidth="1"/>
    <col min="14853" max="14853" width="8.5" style="186" customWidth="1"/>
    <col min="14854" max="15089" width="9.33203125" style="186"/>
    <col min="15090" max="15090" width="3" style="186" customWidth="1"/>
    <col min="15091" max="15091" width="5.33203125" style="186" customWidth="1"/>
    <col min="15092" max="15092" width="5.6640625" style="186" customWidth="1"/>
    <col min="15093" max="15093" width="22" style="186" customWidth="1"/>
    <col min="15094" max="15095" width="10.5" style="186" customWidth="1"/>
    <col min="15096" max="15096" width="8.33203125" style="186" customWidth="1"/>
    <col min="15097" max="15097" width="10.5" style="186" customWidth="1"/>
    <col min="15098" max="15098" width="9" style="186" customWidth="1"/>
    <col min="15099" max="15102" width="8.33203125" style="186" customWidth="1"/>
    <col min="15103" max="15103" width="9" style="186" customWidth="1"/>
    <col min="15104" max="15104" width="8.33203125" style="186" customWidth="1"/>
    <col min="15105" max="15105" width="5.5" style="186" customWidth="1"/>
    <col min="15106" max="15106" width="2.83203125" style="186" customWidth="1"/>
    <col min="15107" max="15107" width="2" style="186" customWidth="1"/>
    <col min="15108" max="15108" width="6.5" style="186" customWidth="1"/>
    <col min="15109" max="15109" width="8.5" style="186" customWidth="1"/>
    <col min="15110" max="15345" width="9.33203125" style="186"/>
    <col min="15346" max="15346" width="3" style="186" customWidth="1"/>
    <col min="15347" max="15347" width="5.33203125" style="186" customWidth="1"/>
    <col min="15348" max="15348" width="5.6640625" style="186" customWidth="1"/>
    <col min="15349" max="15349" width="22" style="186" customWidth="1"/>
    <col min="15350" max="15351" width="10.5" style="186" customWidth="1"/>
    <col min="15352" max="15352" width="8.33203125" style="186" customWidth="1"/>
    <col min="15353" max="15353" width="10.5" style="186" customWidth="1"/>
    <col min="15354" max="15354" width="9" style="186" customWidth="1"/>
    <col min="15355" max="15358" width="8.33203125" style="186" customWidth="1"/>
    <col min="15359" max="15359" width="9" style="186" customWidth="1"/>
    <col min="15360" max="15360" width="8.33203125" style="186" customWidth="1"/>
    <col min="15361" max="15361" width="5.5" style="186" customWidth="1"/>
    <col min="15362" max="15362" width="2.83203125" style="186" customWidth="1"/>
    <col min="15363" max="15363" width="2" style="186" customWidth="1"/>
    <col min="15364" max="15364" width="6.5" style="186" customWidth="1"/>
    <col min="15365" max="15365" width="8.5" style="186" customWidth="1"/>
    <col min="15366" max="15601" width="9.33203125" style="186"/>
    <col min="15602" max="15602" width="3" style="186" customWidth="1"/>
    <col min="15603" max="15603" width="5.33203125" style="186" customWidth="1"/>
    <col min="15604" max="15604" width="5.6640625" style="186" customWidth="1"/>
    <col min="15605" max="15605" width="22" style="186" customWidth="1"/>
    <col min="15606" max="15607" width="10.5" style="186" customWidth="1"/>
    <col min="15608" max="15608" width="8.33203125" style="186" customWidth="1"/>
    <col min="15609" max="15609" width="10.5" style="186" customWidth="1"/>
    <col min="15610" max="15610" width="9" style="186" customWidth="1"/>
    <col min="15611" max="15614" width="8.33203125" style="186" customWidth="1"/>
    <col min="15615" max="15615" width="9" style="186" customWidth="1"/>
    <col min="15616" max="15616" width="8.33203125" style="186" customWidth="1"/>
    <col min="15617" max="15617" width="5.5" style="186" customWidth="1"/>
    <col min="15618" max="15618" width="2.83203125" style="186" customWidth="1"/>
    <col min="15619" max="15619" width="2" style="186" customWidth="1"/>
    <col min="15620" max="15620" width="6.5" style="186" customWidth="1"/>
    <col min="15621" max="15621" width="8.5" style="186" customWidth="1"/>
    <col min="15622" max="15857" width="9.33203125" style="186"/>
    <col min="15858" max="15858" width="3" style="186" customWidth="1"/>
    <col min="15859" max="15859" width="5.33203125" style="186" customWidth="1"/>
    <col min="15860" max="15860" width="5.6640625" style="186" customWidth="1"/>
    <col min="15861" max="15861" width="22" style="186" customWidth="1"/>
    <col min="15862" max="15863" width="10.5" style="186" customWidth="1"/>
    <col min="15864" max="15864" width="8.33203125" style="186" customWidth="1"/>
    <col min="15865" max="15865" width="10.5" style="186" customWidth="1"/>
    <col min="15866" max="15866" width="9" style="186" customWidth="1"/>
    <col min="15867" max="15870" width="8.33203125" style="186" customWidth="1"/>
    <col min="15871" max="15871" width="9" style="186" customWidth="1"/>
    <col min="15872" max="15872" width="8.33203125" style="186" customWidth="1"/>
    <col min="15873" max="15873" width="5.5" style="186" customWidth="1"/>
    <col min="15874" max="15874" width="2.83203125" style="186" customWidth="1"/>
    <col min="15875" max="15875" width="2" style="186" customWidth="1"/>
    <col min="15876" max="15876" width="6.5" style="186" customWidth="1"/>
    <col min="15877" max="15877" width="8.5" style="186" customWidth="1"/>
    <col min="15878" max="16113" width="9.33203125" style="186"/>
    <col min="16114" max="16114" width="3" style="186" customWidth="1"/>
    <col min="16115" max="16115" width="5.33203125" style="186" customWidth="1"/>
    <col min="16116" max="16116" width="5.6640625" style="186" customWidth="1"/>
    <col min="16117" max="16117" width="22" style="186" customWidth="1"/>
    <col min="16118" max="16119" width="10.5" style="186" customWidth="1"/>
    <col min="16120" max="16120" width="8.33203125" style="186" customWidth="1"/>
    <col min="16121" max="16121" width="10.5" style="186" customWidth="1"/>
    <col min="16122" max="16122" width="9" style="186" customWidth="1"/>
    <col min="16123" max="16126" width="8.33203125" style="186" customWidth="1"/>
    <col min="16127" max="16127" width="9" style="186" customWidth="1"/>
    <col min="16128" max="16128" width="8.33203125" style="186" customWidth="1"/>
    <col min="16129" max="16129" width="5.5" style="186" customWidth="1"/>
    <col min="16130" max="16130" width="2.83203125" style="186" customWidth="1"/>
    <col min="16131" max="16131" width="2" style="186" customWidth="1"/>
    <col min="16132" max="16132" width="6.5" style="186" customWidth="1"/>
    <col min="16133" max="16133" width="8.5" style="186" customWidth="1"/>
    <col min="16134" max="16384" width="9.33203125" style="186"/>
  </cols>
  <sheetData>
    <row r="2" spans="1:6" ht="30" customHeight="1">
      <c r="A2" s="241" t="s">
        <v>242</v>
      </c>
      <c r="B2" s="241"/>
      <c r="C2" s="241"/>
      <c r="D2" s="241"/>
      <c r="E2" s="241"/>
      <c r="F2" s="241"/>
    </row>
    <row r="4" spans="1:6" ht="16.5" customHeight="1">
      <c r="A4" s="172" t="s">
        <v>0</v>
      </c>
      <c r="B4" s="172" t="s">
        <v>1</v>
      </c>
      <c r="C4" s="172" t="s">
        <v>26</v>
      </c>
      <c r="D4" s="172" t="s">
        <v>27</v>
      </c>
      <c r="E4" s="172" t="s">
        <v>28</v>
      </c>
      <c r="F4" s="172" t="s">
        <v>29</v>
      </c>
    </row>
    <row r="5" spans="1:6" ht="15.95" customHeight="1">
      <c r="A5" s="205" t="s">
        <v>2</v>
      </c>
      <c r="B5" s="205" t="s">
        <v>309</v>
      </c>
      <c r="C5" s="205" t="s">
        <v>309</v>
      </c>
      <c r="D5" s="206" t="s">
        <v>183</v>
      </c>
      <c r="E5" s="207">
        <v>11000</v>
      </c>
      <c r="F5" s="207">
        <v>11000</v>
      </c>
    </row>
    <row r="6" spans="1:6" ht="15.95" customHeight="1">
      <c r="A6" s="208" t="s">
        <v>309</v>
      </c>
      <c r="B6" s="208" t="s">
        <v>184</v>
      </c>
      <c r="C6" s="208" t="s">
        <v>309</v>
      </c>
      <c r="D6" s="209" t="s">
        <v>185</v>
      </c>
      <c r="E6" s="210">
        <v>11000</v>
      </c>
      <c r="F6" s="210">
        <v>11000</v>
      </c>
    </row>
    <row r="7" spans="1:6" ht="36">
      <c r="A7" s="211" t="s">
        <v>309</v>
      </c>
      <c r="B7" s="211" t="s">
        <v>309</v>
      </c>
      <c r="C7" s="211" t="s">
        <v>310</v>
      </c>
      <c r="D7" s="212" t="s">
        <v>186</v>
      </c>
      <c r="E7" s="213">
        <v>11000</v>
      </c>
      <c r="F7" s="213">
        <v>0</v>
      </c>
    </row>
    <row r="8" spans="1:6" ht="20.25" customHeight="1">
      <c r="A8" s="211" t="s">
        <v>309</v>
      </c>
      <c r="B8" s="211" t="s">
        <v>309</v>
      </c>
      <c r="C8" s="211" t="s">
        <v>311</v>
      </c>
      <c r="D8" s="212" t="s">
        <v>187</v>
      </c>
      <c r="E8" s="213">
        <v>0</v>
      </c>
      <c r="F8" s="213">
        <v>11000</v>
      </c>
    </row>
    <row r="9" spans="1:6" ht="15.95" customHeight="1">
      <c r="A9" s="205" t="s">
        <v>312</v>
      </c>
      <c r="B9" s="205" t="s">
        <v>309</v>
      </c>
      <c r="C9" s="205" t="s">
        <v>309</v>
      </c>
      <c r="D9" s="206" t="s">
        <v>188</v>
      </c>
      <c r="E9" s="207">
        <v>311257</v>
      </c>
      <c r="F9" s="207">
        <v>311257</v>
      </c>
    </row>
    <row r="10" spans="1:6" ht="15.95" customHeight="1">
      <c r="A10" s="208" t="s">
        <v>309</v>
      </c>
      <c r="B10" s="208" t="s">
        <v>313</v>
      </c>
      <c r="C10" s="208" t="s">
        <v>309</v>
      </c>
      <c r="D10" s="209" t="s">
        <v>189</v>
      </c>
      <c r="E10" s="210">
        <v>311257</v>
      </c>
      <c r="F10" s="210">
        <v>311257</v>
      </c>
    </row>
    <row r="11" spans="1:6" ht="42" customHeight="1">
      <c r="A11" s="211" t="s">
        <v>309</v>
      </c>
      <c r="B11" s="211" t="s">
        <v>309</v>
      </c>
      <c r="C11" s="211" t="s">
        <v>310</v>
      </c>
      <c r="D11" s="212" t="s">
        <v>186</v>
      </c>
      <c r="E11" s="213">
        <v>311257</v>
      </c>
      <c r="F11" s="213">
        <v>0</v>
      </c>
    </row>
    <row r="12" spans="1:6" ht="15.95" customHeight="1">
      <c r="A12" s="211" t="s">
        <v>309</v>
      </c>
      <c r="B12" s="211" t="s">
        <v>309</v>
      </c>
      <c r="C12" s="211" t="s">
        <v>314</v>
      </c>
      <c r="D12" s="212" t="s">
        <v>190</v>
      </c>
      <c r="E12" s="213">
        <v>0</v>
      </c>
      <c r="F12" s="213">
        <v>43890</v>
      </c>
    </row>
    <row r="13" spans="1:6" ht="15.95" customHeight="1">
      <c r="A13" s="211" t="s">
        <v>309</v>
      </c>
      <c r="B13" s="211" t="s">
        <v>309</v>
      </c>
      <c r="C13" s="211" t="s">
        <v>315</v>
      </c>
      <c r="D13" s="212" t="s">
        <v>191</v>
      </c>
      <c r="E13" s="213">
        <v>0</v>
      </c>
      <c r="F13" s="213">
        <v>7545</v>
      </c>
    </row>
    <row r="14" spans="1:6" ht="15.95" customHeight="1">
      <c r="A14" s="211" t="s">
        <v>309</v>
      </c>
      <c r="B14" s="211" t="s">
        <v>309</v>
      </c>
      <c r="C14" s="211" t="s">
        <v>316</v>
      </c>
      <c r="D14" s="212" t="s">
        <v>412</v>
      </c>
      <c r="E14" s="213">
        <v>0</v>
      </c>
      <c r="F14" s="213">
        <v>1075</v>
      </c>
    </row>
    <row r="15" spans="1:6" ht="15.95" customHeight="1">
      <c r="A15" s="211" t="s">
        <v>309</v>
      </c>
      <c r="B15" s="211" t="s">
        <v>309</v>
      </c>
      <c r="C15" s="211" t="s">
        <v>317</v>
      </c>
      <c r="D15" s="212" t="s">
        <v>192</v>
      </c>
      <c r="E15" s="213">
        <v>0</v>
      </c>
      <c r="F15" s="213">
        <v>0</v>
      </c>
    </row>
    <row r="16" spans="1:6" ht="15.95" customHeight="1">
      <c r="A16" s="211" t="s">
        <v>309</v>
      </c>
      <c r="B16" s="211" t="s">
        <v>309</v>
      </c>
      <c r="C16" s="211" t="s">
        <v>318</v>
      </c>
      <c r="D16" s="212" t="s">
        <v>193</v>
      </c>
      <c r="E16" s="213">
        <v>0</v>
      </c>
      <c r="F16" s="213">
        <v>435</v>
      </c>
    </row>
    <row r="17" spans="1:6" ht="15.95" customHeight="1">
      <c r="A17" s="211" t="s">
        <v>309</v>
      </c>
      <c r="B17" s="211" t="s">
        <v>309</v>
      </c>
      <c r="C17" s="211" t="s">
        <v>319</v>
      </c>
      <c r="D17" s="212" t="s">
        <v>194</v>
      </c>
      <c r="E17" s="213">
        <v>0</v>
      </c>
      <c r="F17" s="213">
        <v>0</v>
      </c>
    </row>
    <row r="18" spans="1:6" ht="15.95" customHeight="1">
      <c r="A18" s="211" t="s">
        <v>309</v>
      </c>
      <c r="B18" s="211" t="s">
        <v>309</v>
      </c>
      <c r="C18" s="211" t="s">
        <v>320</v>
      </c>
      <c r="D18" s="212" t="s">
        <v>195</v>
      </c>
      <c r="E18" s="213">
        <v>0</v>
      </c>
      <c r="F18" s="213">
        <v>55472</v>
      </c>
    </row>
    <row r="19" spans="1:6" ht="15.95" customHeight="1">
      <c r="A19" s="211" t="s">
        <v>309</v>
      </c>
      <c r="B19" s="211" t="s">
        <v>309</v>
      </c>
      <c r="C19" s="211" t="s">
        <v>311</v>
      </c>
      <c r="D19" s="212" t="s">
        <v>187</v>
      </c>
      <c r="E19" s="213">
        <v>0</v>
      </c>
      <c r="F19" s="213">
        <v>50000</v>
      </c>
    </row>
    <row r="20" spans="1:6" ht="15.95" customHeight="1">
      <c r="A20" s="211" t="s">
        <v>309</v>
      </c>
      <c r="B20" s="211" t="s">
        <v>309</v>
      </c>
      <c r="C20" s="211" t="s">
        <v>321</v>
      </c>
      <c r="D20" s="212" t="s">
        <v>196</v>
      </c>
      <c r="E20" s="213">
        <v>0</v>
      </c>
      <c r="F20" s="213">
        <v>40000</v>
      </c>
    </row>
    <row r="21" spans="1:6" ht="15.95" customHeight="1">
      <c r="A21" s="211" t="s">
        <v>309</v>
      </c>
      <c r="B21" s="211" t="s">
        <v>309</v>
      </c>
      <c r="C21" s="211" t="s">
        <v>322</v>
      </c>
      <c r="D21" s="212" t="s">
        <v>197</v>
      </c>
      <c r="E21" s="213">
        <v>0</v>
      </c>
      <c r="F21" s="213">
        <v>4100</v>
      </c>
    </row>
    <row r="22" spans="1:6" ht="15.95" customHeight="1">
      <c r="A22" s="211" t="s">
        <v>309</v>
      </c>
      <c r="B22" s="211" t="s">
        <v>309</v>
      </c>
      <c r="C22" s="211" t="s">
        <v>323</v>
      </c>
      <c r="D22" s="212" t="s">
        <v>198</v>
      </c>
      <c r="E22" s="213">
        <v>0</v>
      </c>
      <c r="F22" s="213">
        <v>46900</v>
      </c>
    </row>
    <row r="23" spans="1:6" ht="15.95" customHeight="1">
      <c r="A23" s="211" t="s">
        <v>309</v>
      </c>
      <c r="B23" s="211" t="s">
        <v>309</v>
      </c>
      <c r="C23" s="211" t="s">
        <v>324</v>
      </c>
      <c r="D23" s="212" t="s">
        <v>199</v>
      </c>
      <c r="E23" s="213">
        <v>0</v>
      </c>
      <c r="F23" s="213">
        <v>7528</v>
      </c>
    </row>
    <row r="24" spans="1:6" ht="15.95" customHeight="1">
      <c r="A24" s="211" t="s">
        <v>309</v>
      </c>
      <c r="B24" s="211" t="s">
        <v>309</v>
      </c>
      <c r="C24" s="211" t="s">
        <v>325</v>
      </c>
      <c r="D24" s="212" t="s">
        <v>200</v>
      </c>
      <c r="E24" s="213">
        <v>0</v>
      </c>
      <c r="F24" s="213">
        <v>1955</v>
      </c>
    </row>
    <row r="25" spans="1:6" ht="15.95" customHeight="1">
      <c r="A25" s="211" t="s">
        <v>309</v>
      </c>
      <c r="B25" s="211" t="s">
        <v>309</v>
      </c>
      <c r="C25" s="211" t="s">
        <v>326</v>
      </c>
      <c r="D25" s="212" t="s">
        <v>201</v>
      </c>
      <c r="E25" s="213">
        <v>0</v>
      </c>
      <c r="F25" s="213">
        <v>35357</v>
      </c>
    </row>
    <row r="26" spans="1:6" ht="15.95" customHeight="1">
      <c r="A26" s="211" t="s">
        <v>309</v>
      </c>
      <c r="B26" s="211" t="s">
        <v>309</v>
      </c>
      <c r="C26" s="211" t="s">
        <v>327</v>
      </c>
      <c r="D26" s="212" t="s">
        <v>202</v>
      </c>
      <c r="E26" s="213">
        <v>0</v>
      </c>
      <c r="F26" s="213">
        <v>17000</v>
      </c>
    </row>
    <row r="27" spans="1:6" ht="15.95" customHeight="1">
      <c r="A27" s="205" t="s">
        <v>328</v>
      </c>
      <c r="B27" s="205" t="s">
        <v>309</v>
      </c>
      <c r="C27" s="205" t="s">
        <v>309</v>
      </c>
      <c r="D27" s="206" t="s">
        <v>5</v>
      </c>
      <c r="E27" s="207">
        <v>1335436</v>
      </c>
      <c r="F27" s="207">
        <v>1335436</v>
      </c>
    </row>
    <row r="28" spans="1:6" ht="15.95" customHeight="1">
      <c r="A28" s="208" t="s">
        <v>309</v>
      </c>
      <c r="B28" s="208" t="s">
        <v>203</v>
      </c>
      <c r="C28" s="208" t="s">
        <v>309</v>
      </c>
      <c r="D28" s="209" t="s">
        <v>204</v>
      </c>
      <c r="E28" s="210">
        <v>315012</v>
      </c>
      <c r="F28" s="210">
        <v>315012</v>
      </c>
    </row>
    <row r="29" spans="1:6" ht="42.75" customHeight="1">
      <c r="A29" s="211" t="s">
        <v>309</v>
      </c>
      <c r="B29" s="211" t="s">
        <v>309</v>
      </c>
      <c r="C29" s="211" t="s">
        <v>310</v>
      </c>
      <c r="D29" s="212" t="s">
        <v>186</v>
      </c>
      <c r="E29" s="213">
        <v>315012</v>
      </c>
      <c r="F29" s="213">
        <v>0</v>
      </c>
    </row>
    <row r="30" spans="1:6" ht="15.95" customHeight="1">
      <c r="A30" s="211" t="s">
        <v>309</v>
      </c>
      <c r="B30" s="211" t="s">
        <v>309</v>
      </c>
      <c r="C30" s="211" t="s">
        <v>314</v>
      </c>
      <c r="D30" s="212" t="s">
        <v>190</v>
      </c>
      <c r="E30" s="213">
        <v>0</v>
      </c>
      <c r="F30" s="213">
        <v>237126</v>
      </c>
    </row>
    <row r="31" spans="1:6" ht="15.95" customHeight="1">
      <c r="A31" s="211" t="s">
        <v>309</v>
      </c>
      <c r="B31" s="211" t="s">
        <v>309</v>
      </c>
      <c r="C31" s="211" t="s">
        <v>315</v>
      </c>
      <c r="D31" s="212" t="s">
        <v>191</v>
      </c>
      <c r="E31" s="213">
        <v>0</v>
      </c>
      <c r="F31" s="213">
        <v>39657</v>
      </c>
    </row>
    <row r="32" spans="1:6" ht="15.95" customHeight="1">
      <c r="A32" s="211" t="s">
        <v>309</v>
      </c>
      <c r="B32" s="211" t="s">
        <v>309</v>
      </c>
      <c r="C32" s="211" t="s">
        <v>316</v>
      </c>
      <c r="D32" s="212" t="s">
        <v>412</v>
      </c>
      <c r="E32" s="213">
        <v>0</v>
      </c>
      <c r="F32" s="213">
        <v>2682</v>
      </c>
    </row>
    <row r="33" spans="1:8" ht="15.95" customHeight="1">
      <c r="A33" s="211" t="s">
        <v>309</v>
      </c>
      <c r="B33" s="211" t="s">
        <v>309</v>
      </c>
      <c r="C33" s="211" t="s">
        <v>311</v>
      </c>
      <c r="D33" s="212" t="s">
        <v>187</v>
      </c>
      <c r="E33" s="213">
        <v>0</v>
      </c>
      <c r="F33" s="213">
        <v>35547</v>
      </c>
    </row>
    <row r="34" spans="1:8" ht="15.95" customHeight="1">
      <c r="A34" s="208" t="s">
        <v>309</v>
      </c>
      <c r="B34" s="208" t="s">
        <v>329</v>
      </c>
      <c r="C34" s="208" t="s">
        <v>309</v>
      </c>
      <c r="D34" s="209" t="s">
        <v>205</v>
      </c>
      <c r="E34" s="210">
        <v>1020424</v>
      </c>
      <c r="F34" s="210">
        <v>1020424</v>
      </c>
    </row>
    <row r="35" spans="1:8" ht="42" customHeight="1">
      <c r="A35" s="211" t="s">
        <v>309</v>
      </c>
      <c r="B35" s="211" t="s">
        <v>309</v>
      </c>
      <c r="C35" s="211" t="s">
        <v>310</v>
      </c>
      <c r="D35" s="212" t="s">
        <v>186</v>
      </c>
      <c r="E35" s="213">
        <v>1020424</v>
      </c>
      <c r="F35" s="213">
        <v>0</v>
      </c>
    </row>
    <row r="36" spans="1:8" ht="15.95" customHeight="1">
      <c r="A36" s="211" t="s">
        <v>309</v>
      </c>
      <c r="B36" s="211" t="s">
        <v>309</v>
      </c>
      <c r="C36" s="211" t="s">
        <v>330</v>
      </c>
      <c r="D36" s="212" t="s">
        <v>206</v>
      </c>
      <c r="E36" s="213">
        <v>0</v>
      </c>
      <c r="F36" s="213">
        <v>220</v>
      </c>
      <c r="H36" s="195"/>
    </row>
    <row r="37" spans="1:8" ht="15.95" customHeight="1">
      <c r="A37" s="211" t="s">
        <v>309</v>
      </c>
      <c r="B37" s="211" t="s">
        <v>309</v>
      </c>
      <c r="C37" s="211" t="s">
        <v>314</v>
      </c>
      <c r="D37" s="212" t="s">
        <v>190</v>
      </c>
      <c r="E37" s="213">
        <v>0</v>
      </c>
      <c r="F37" s="213">
        <v>156669</v>
      </c>
    </row>
    <row r="38" spans="1:8" ht="15.95" customHeight="1">
      <c r="A38" s="211" t="s">
        <v>309</v>
      </c>
      <c r="B38" s="211" t="s">
        <v>309</v>
      </c>
      <c r="C38" s="211" t="s">
        <v>331</v>
      </c>
      <c r="D38" s="212" t="s">
        <v>207</v>
      </c>
      <c r="E38" s="213">
        <v>0</v>
      </c>
      <c r="F38" s="213">
        <v>475540</v>
      </c>
    </row>
    <row r="39" spans="1:8" ht="15.95" customHeight="1">
      <c r="A39" s="211" t="s">
        <v>309</v>
      </c>
      <c r="B39" s="211" t="s">
        <v>309</v>
      </c>
      <c r="C39" s="211" t="s">
        <v>332</v>
      </c>
      <c r="D39" s="212" t="s">
        <v>208</v>
      </c>
      <c r="E39" s="213">
        <v>0</v>
      </c>
      <c r="F39" s="213">
        <v>38690</v>
      </c>
    </row>
    <row r="40" spans="1:8" ht="15.95" customHeight="1">
      <c r="A40" s="211" t="s">
        <v>309</v>
      </c>
      <c r="B40" s="211" t="s">
        <v>309</v>
      </c>
      <c r="C40" s="211" t="s">
        <v>315</v>
      </c>
      <c r="D40" s="212" t="s">
        <v>191</v>
      </c>
      <c r="E40" s="213">
        <v>0</v>
      </c>
      <c r="F40" s="213">
        <v>110949</v>
      </c>
    </row>
    <row r="41" spans="1:8" ht="15.95" customHeight="1">
      <c r="A41" s="211" t="s">
        <v>309</v>
      </c>
      <c r="B41" s="211" t="s">
        <v>309</v>
      </c>
      <c r="C41" s="211" t="s">
        <v>316</v>
      </c>
      <c r="D41" s="212" t="s">
        <v>412</v>
      </c>
      <c r="E41" s="213">
        <v>0</v>
      </c>
      <c r="F41" s="213">
        <v>10135</v>
      </c>
    </row>
    <row r="42" spans="1:8" ht="15.95" customHeight="1">
      <c r="A42" s="211" t="s">
        <v>309</v>
      </c>
      <c r="B42" s="211" t="s">
        <v>309</v>
      </c>
      <c r="C42" s="211" t="s">
        <v>317</v>
      </c>
      <c r="D42" s="212" t="s">
        <v>192</v>
      </c>
      <c r="E42" s="213">
        <v>0</v>
      </c>
      <c r="F42" s="213">
        <v>136</v>
      </c>
    </row>
    <row r="43" spans="1:8" ht="15.95" customHeight="1">
      <c r="A43" s="211" t="s">
        <v>309</v>
      </c>
      <c r="B43" s="211" t="s">
        <v>309</v>
      </c>
      <c r="C43" s="211" t="s">
        <v>318</v>
      </c>
      <c r="D43" s="212" t="s">
        <v>193</v>
      </c>
      <c r="E43" s="213">
        <v>0</v>
      </c>
      <c r="F43" s="213">
        <v>60370</v>
      </c>
    </row>
    <row r="44" spans="1:8" ht="15.95" customHeight="1">
      <c r="A44" s="211" t="s">
        <v>309</v>
      </c>
      <c r="B44" s="211" t="s">
        <v>309</v>
      </c>
      <c r="C44" s="211" t="s">
        <v>319</v>
      </c>
      <c r="D44" s="212" t="s">
        <v>194</v>
      </c>
      <c r="E44" s="213">
        <v>0</v>
      </c>
      <c r="F44" s="213">
        <v>14114</v>
      </c>
    </row>
    <row r="45" spans="1:8" ht="15.95" customHeight="1">
      <c r="A45" s="211" t="s">
        <v>309</v>
      </c>
      <c r="B45" s="211" t="s">
        <v>309</v>
      </c>
      <c r="C45" s="211" t="s">
        <v>320</v>
      </c>
      <c r="D45" s="212" t="s">
        <v>195</v>
      </c>
      <c r="E45" s="213">
        <v>0</v>
      </c>
      <c r="F45" s="213">
        <v>11721</v>
      </c>
    </row>
    <row r="46" spans="1:8" ht="15.95" customHeight="1">
      <c r="A46" s="211" t="s">
        <v>309</v>
      </c>
      <c r="B46" s="211" t="s">
        <v>309</v>
      </c>
      <c r="C46" s="211" t="s">
        <v>333</v>
      </c>
      <c r="D46" s="212" t="s">
        <v>209</v>
      </c>
      <c r="E46" s="213">
        <v>0</v>
      </c>
      <c r="F46" s="213">
        <v>450</v>
      </c>
    </row>
    <row r="47" spans="1:8" ht="15.95" customHeight="1">
      <c r="A47" s="211" t="s">
        <v>309</v>
      </c>
      <c r="B47" s="211" t="s">
        <v>309</v>
      </c>
      <c r="C47" s="211" t="s">
        <v>311</v>
      </c>
      <c r="D47" s="212" t="s">
        <v>187</v>
      </c>
      <c r="E47" s="213">
        <v>0</v>
      </c>
      <c r="F47" s="213">
        <v>113750</v>
      </c>
    </row>
    <row r="48" spans="1:8" ht="15.95" customHeight="1">
      <c r="A48" s="211" t="s">
        <v>309</v>
      </c>
      <c r="B48" s="211" t="s">
        <v>309</v>
      </c>
      <c r="C48" s="211" t="s">
        <v>334</v>
      </c>
      <c r="D48" s="212" t="s">
        <v>335</v>
      </c>
      <c r="E48" s="213">
        <v>0</v>
      </c>
      <c r="F48" s="213">
        <v>3532</v>
      </c>
    </row>
    <row r="49" spans="1:6" ht="15.95" customHeight="1">
      <c r="A49" s="211" t="s">
        <v>309</v>
      </c>
      <c r="B49" s="211" t="s">
        <v>309</v>
      </c>
      <c r="C49" s="211" t="s">
        <v>336</v>
      </c>
      <c r="D49" s="212" t="s">
        <v>210</v>
      </c>
      <c r="E49" s="213">
        <v>0</v>
      </c>
      <c r="F49" s="213">
        <v>1730</v>
      </c>
    </row>
    <row r="50" spans="1:6" ht="15.95" customHeight="1">
      <c r="A50" s="211" t="s">
        <v>309</v>
      </c>
      <c r="B50" s="211" t="s">
        <v>309</v>
      </c>
      <c r="C50" s="211" t="s">
        <v>322</v>
      </c>
      <c r="D50" s="212" t="s">
        <v>197</v>
      </c>
      <c r="E50" s="213">
        <v>0</v>
      </c>
      <c r="F50" s="213">
        <v>3620</v>
      </c>
    </row>
    <row r="51" spans="1:6" ht="15.95" customHeight="1">
      <c r="A51" s="211" t="s">
        <v>309</v>
      </c>
      <c r="B51" s="211" t="s">
        <v>309</v>
      </c>
      <c r="C51" s="211" t="s">
        <v>337</v>
      </c>
      <c r="D51" s="212" t="s">
        <v>211</v>
      </c>
      <c r="E51" s="213">
        <v>0</v>
      </c>
      <c r="F51" s="213">
        <v>17363</v>
      </c>
    </row>
    <row r="52" spans="1:6" ht="15.95" customHeight="1">
      <c r="A52" s="211" t="s">
        <v>309</v>
      </c>
      <c r="B52" s="211" t="s">
        <v>309</v>
      </c>
      <c r="C52" s="211" t="s">
        <v>323</v>
      </c>
      <c r="D52" s="212" t="s">
        <v>198</v>
      </c>
      <c r="E52" s="213">
        <v>0</v>
      </c>
      <c r="F52" s="213">
        <v>1435</v>
      </c>
    </row>
    <row r="53" spans="1:6" ht="15.95" customHeight="1">
      <c r="A53" s="211" t="s">
        <v>309</v>
      </c>
      <c r="B53" s="211" t="s">
        <v>309</v>
      </c>
      <c r="C53" s="211" t="s">
        <v>338</v>
      </c>
      <c r="D53" s="212" t="s">
        <v>212</v>
      </c>
      <c r="E53" s="213">
        <v>0</v>
      </c>
      <c r="F53" s="213">
        <v>0</v>
      </c>
    </row>
    <row r="54" spans="1:6" ht="15.95" customHeight="1">
      <c r="A54" s="211" t="s">
        <v>309</v>
      </c>
      <c r="B54" s="211" t="s">
        <v>309</v>
      </c>
      <c r="C54" s="211" t="s">
        <v>327</v>
      </c>
      <c r="D54" s="212" t="s">
        <v>202</v>
      </c>
      <c r="E54" s="213">
        <v>0</v>
      </c>
      <c r="F54" s="213">
        <v>0</v>
      </c>
    </row>
    <row r="55" spans="1:6" ht="30" customHeight="1">
      <c r="A55" s="211" t="s">
        <v>309</v>
      </c>
      <c r="B55" s="211" t="s">
        <v>309</v>
      </c>
      <c r="C55" s="211" t="s">
        <v>339</v>
      </c>
      <c r="D55" s="212" t="s">
        <v>213</v>
      </c>
      <c r="E55" s="213">
        <v>0</v>
      </c>
      <c r="F55" s="213">
        <v>0</v>
      </c>
    </row>
    <row r="56" spans="1:6" ht="15.95" customHeight="1">
      <c r="A56" s="205" t="s">
        <v>340</v>
      </c>
      <c r="B56" s="205" t="s">
        <v>309</v>
      </c>
      <c r="C56" s="205" t="s">
        <v>309</v>
      </c>
      <c r="D56" s="206" t="s">
        <v>214</v>
      </c>
      <c r="E56" s="207">
        <v>55300</v>
      </c>
      <c r="F56" s="207">
        <v>55300</v>
      </c>
    </row>
    <row r="57" spans="1:6" ht="15.95" customHeight="1">
      <c r="A57" s="208" t="s">
        <v>309</v>
      </c>
      <c r="B57" s="208" t="s">
        <v>341</v>
      </c>
      <c r="C57" s="208" t="s">
        <v>309</v>
      </c>
      <c r="D57" s="209" t="s">
        <v>215</v>
      </c>
      <c r="E57" s="210">
        <v>41779</v>
      </c>
      <c r="F57" s="210">
        <v>41779</v>
      </c>
    </row>
    <row r="58" spans="1:6" ht="36">
      <c r="A58" s="211" t="s">
        <v>309</v>
      </c>
      <c r="B58" s="211" t="s">
        <v>309</v>
      </c>
      <c r="C58" s="211" t="s">
        <v>310</v>
      </c>
      <c r="D58" s="212" t="s">
        <v>186</v>
      </c>
      <c r="E58" s="213">
        <v>41779</v>
      </c>
      <c r="F58" s="213">
        <v>0</v>
      </c>
    </row>
    <row r="59" spans="1:6" ht="15.95" customHeight="1">
      <c r="A59" s="211" t="s">
        <v>309</v>
      </c>
      <c r="B59" s="211" t="s">
        <v>309</v>
      </c>
      <c r="C59" s="211" t="s">
        <v>314</v>
      </c>
      <c r="D59" s="212" t="s">
        <v>190</v>
      </c>
      <c r="E59" s="213">
        <v>0</v>
      </c>
      <c r="F59" s="213">
        <v>35021</v>
      </c>
    </row>
    <row r="60" spans="1:6" ht="15.95" customHeight="1">
      <c r="A60" s="211" t="s">
        <v>309</v>
      </c>
      <c r="B60" s="211" t="s">
        <v>309</v>
      </c>
      <c r="C60" s="211" t="s">
        <v>315</v>
      </c>
      <c r="D60" s="212" t="s">
        <v>191</v>
      </c>
      <c r="E60" s="213">
        <v>0</v>
      </c>
      <c r="F60" s="213">
        <v>5915</v>
      </c>
    </row>
    <row r="61" spans="1:6" ht="15.95" customHeight="1">
      <c r="A61" s="211" t="s">
        <v>309</v>
      </c>
      <c r="B61" s="211" t="s">
        <v>309</v>
      </c>
      <c r="C61" s="211" t="s">
        <v>316</v>
      </c>
      <c r="D61" s="212" t="s">
        <v>412</v>
      </c>
      <c r="E61" s="213">
        <v>0</v>
      </c>
      <c r="F61" s="213">
        <v>843</v>
      </c>
    </row>
    <row r="62" spans="1:6" ht="15.95" customHeight="1">
      <c r="A62" s="208" t="s">
        <v>309</v>
      </c>
      <c r="B62" s="208" t="s">
        <v>342</v>
      </c>
      <c r="C62" s="208" t="s">
        <v>309</v>
      </c>
      <c r="D62" s="209" t="s">
        <v>216</v>
      </c>
      <c r="E62" s="210">
        <v>13521</v>
      </c>
      <c r="F62" s="210">
        <v>13521</v>
      </c>
    </row>
    <row r="63" spans="1:6" ht="46.5" customHeight="1">
      <c r="A63" s="211" t="s">
        <v>309</v>
      </c>
      <c r="B63" s="211" t="s">
        <v>309</v>
      </c>
      <c r="C63" s="211" t="s">
        <v>310</v>
      </c>
      <c r="D63" s="212" t="s">
        <v>186</v>
      </c>
      <c r="E63" s="213">
        <v>13521</v>
      </c>
      <c r="F63" s="213">
        <v>0</v>
      </c>
    </row>
    <row r="64" spans="1:6" ht="15.95" customHeight="1">
      <c r="A64" s="211" t="s">
        <v>309</v>
      </c>
      <c r="B64" s="211" t="s">
        <v>309</v>
      </c>
      <c r="C64" s="211" t="s">
        <v>315</v>
      </c>
      <c r="D64" s="212" t="s">
        <v>191</v>
      </c>
      <c r="E64" s="213">
        <v>0</v>
      </c>
      <c r="F64" s="213">
        <v>1599</v>
      </c>
    </row>
    <row r="65" spans="1:6" ht="15.95" customHeight="1">
      <c r="A65" s="211" t="s">
        <v>309</v>
      </c>
      <c r="B65" s="211" t="s">
        <v>309</v>
      </c>
      <c r="C65" s="211" t="s">
        <v>316</v>
      </c>
      <c r="D65" s="212" t="s">
        <v>412</v>
      </c>
      <c r="E65" s="213">
        <v>0</v>
      </c>
      <c r="F65" s="213">
        <v>187</v>
      </c>
    </row>
    <row r="66" spans="1:6" ht="15.95" customHeight="1">
      <c r="A66" s="211" t="s">
        <v>309</v>
      </c>
      <c r="B66" s="211" t="s">
        <v>309</v>
      </c>
      <c r="C66" s="211" t="s">
        <v>317</v>
      </c>
      <c r="D66" s="212" t="s">
        <v>192</v>
      </c>
      <c r="E66" s="213">
        <v>0</v>
      </c>
      <c r="F66" s="213">
        <v>11400</v>
      </c>
    </row>
    <row r="67" spans="1:6" ht="15.95" customHeight="1">
      <c r="A67" s="211" t="s">
        <v>309</v>
      </c>
      <c r="B67" s="211" t="s">
        <v>309</v>
      </c>
      <c r="C67" s="211" t="s">
        <v>318</v>
      </c>
      <c r="D67" s="212" t="s">
        <v>193</v>
      </c>
      <c r="E67" s="213">
        <v>0</v>
      </c>
      <c r="F67" s="213">
        <v>335</v>
      </c>
    </row>
    <row r="68" spans="1:6" ht="15.95" customHeight="1">
      <c r="A68" s="211" t="s">
        <v>309</v>
      </c>
      <c r="B68" s="211" t="s">
        <v>309</v>
      </c>
      <c r="C68" s="211" t="s">
        <v>311</v>
      </c>
      <c r="D68" s="212" t="s">
        <v>187</v>
      </c>
      <c r="E68" s="213">
        <v>0</v>
      </c>
      <c r="F68" s="213">
        <v>0</v>
      </c>
    </row>
    <row r="69" spans="1:6" ht="15.95" customHeight="1">
      <c r="A69" s="205" t="s">
        <v>256</v>
      </c>
      <c r="B69" s="205" t="s">
        <v>309</v>
      </c>
      <c r="C69" s="205" t="s">
        <v>309</v>
      </c>
      <c r="D69" s="206" t="s">
        <v>343</v>
      </c>
      <c r="E69" s="207">
        <v>84674</v>
      </c>
      <c r="F69" s="207">
        <v>84674</v>
      </c>
    </row>
    <row r="70" spans="1:6" ht="15.95" customHeight="1">
      <c r="A70" s="208" t="s">
        <v>309</v>
      </c>
      <c r="B70" s="208" t="s">
        <v>257</v>
      </c>
      <c r="C70" s="208" t="s">
        <v>309</v>
      </c>
      <c r="D70" s="209" t="s">
        <v>255</v>
      </c>
      <c r="E70" s="210">
        <v>84674</v>
      </c>
      <c r="F70" s="210">
        <v>84674</v>
      </c>
    </row>
    <row r="71" spans="1:6" ht="42" customHeight="1">
      <c r="A71" s="211" t="s">
        <v>309</v>
      </c>
      <c r="B71" s="211" t="s">
        <v>309</v>
      </c>
      <c r="C71" s="211" t="s">
        <v>310</v>
      </c>
      <c r="D71" s="212" t="s">
        <v>186</v>
      </c>
      <c r="E71" s="213">
        <v>84674</v>
      </c>
      <c r="F71" s="213">
        <v>0</v>
      </c>
    </row>
    <row r="72" spans="1:6" ht="15.95" customHeight="1">
      <c r="A72" s="211" t="s">
        <v>309</v>
      </c>
      <c r="B72" s="211" t="s">
        <v>309</v>
      </c>
      <c r="C72" s="211" t="s">
        <v>318</v>
      </c>
      <c r="D72" s="212" t="s">
        <v>193</v>
      </c>
      <c r="E72" s="213">
        <v>0</v>
      </c>
      <c r="F72" s="213">
        <v>84674</v>
      </c>
    </row>
    <row r="73" spans="1:6" ht="15.95" customHeight="1">
      <c r="A73" s="205" t="s">
        <v>344</v>
      </c>
      <c r="B73" s="205" t="s">
        <v>309</v>
      </c>
      <c r="C73" s="205" t="s">
        <v>309</v>
      </c>
      <c r="D73" s="206" t="s">
        <v>217</v>
      </c>
      <c r="E73" s="207">
        <v>8891174</v>
      </c>
      <c r="F73" s="207">
        <v>8891174</v>
      </c>
    </row>
    <row r="74" spans="1:6" ht="15.95" customHeight="1">
      <c r="A74" s="208" t="s">
        <v>309</v>
      </c>
      <c r="B74" s="208" t="s">
        <v>345</v>
      </c>
      <c r="C74" s="208" t="s">
        <v>309</v>
      </c>
      <c r="D74" s="209" t="s">
        <v>218</v>
      </c>
      <c r="E74" s="210">
        <v>8891174</v>
      </c>
      <c r="F74" s="210">
        <v>8891174</v>
      </c>
    </row>
    <row r="75" spans="1:6" ht="47.25" customHeight="1">
      <c r="A75" s="211" t="s">
        <v>309</v>
      </c>
      <c r="B75" s="211" t="s">
        <v>309</v>
      </c>
      <c r="C75" s="211" t="s">
        <v>310</v>
      </c>
      <c r="D75" s="212" t="s">
        <v>186</v>
      </c>
      <c r="E75" s="213">
        <v>8786174</v>
      </c>
      <c r="F75" s="213">
        <v>0</v>
      </c>
    </row>
    <row r="76" spans="1:6" ht="41.25" customHeight="1">
      <c r="A76" s="211" t="s">
        <v>309</v>
      </c>
      <c r="B76" s="211" t="s">
        <v>309</v>
      </c>
      <c r="C76" s="211" t="s">
        <v>380</v>
      </c>
      <c r="D76" s="212" t="s">
        <v>381</v>
      </c>
      <c r="E76" s="213">
        <v>105000</v>
      </c>
      <c r="F76" s="213">
        <v>0</v>
      </c>
    </row>
    <row r="77" spans="1:6" ht="21" customHeight="1">
      <c r="A77" s="211" t="s">
        <v>309</v>
      </c>
      <c r="B77" s="211" t="s">
        <v>309</v>
      </c>
      <c r="C77" s="211" t="s">
        <v>330</v>
      </c>
      <c r="D77" s="212" t="s">
        <v>206</v>
      </c>
      <c r="E77" s="213">
        <v>0</v>
      </c>
      <c r="F77" s="213">
        <v>600</v>
      </c>
    </row>
    <row r="78" spans="1:6" ht="30.75" customHeight="1">
      <c r="A78" s="211" t="s">
        <v>309</v>
      </c>
      <c r="B78" s="211" t="s">
        <v>309</v>
      </c>
      <c r="C78" s="211" t="s">
        <v>346</v>
      </c>
      <c r="D78" s="212" t="s">
        <v>219</v>
      </c>
      <c r="E78" s="213">
        <v>0</v>
      </c>
      <c r="F78" s="213">
        <v>304141</v>
      </c>
    </row>
    <row r="79" spans="1:6" ht="15.95" customHeight="1">
      <c r="A79" s="211" t="s">
        <v>309</v>
      </c>
      <c r="B79" s="211" t="s">
        <v>309</v>
      </c>
      <c r="C79" s="211" t="s">
        <v>314</v>
      </c>
      <c r="D79" s="212" t="s">
        <v>190</v>
      </c>
      <c r="E79" s="213">
        <v>0</v>
      </c>
      <c r="F79" s="213">
        <v>62422</v>
      </c>
    </row>
    <row r="80" spans="1:6" ht="15.95" customHeight="1">
      <c r="A80" s="211" t="s">
        <v>309</v>
      </c>
      <c r="B80" s="211" t="s">
        <v>309</v>
      </c>
      <c r="C80" s="211" t="s">
        <v>331</v>
      </c>
      <c r="D80" s="212" t="s">
        <v>207</v>
      </c>
      <c r="E80" s="213">
        <v>0</v>
      </c>
      <c r="F80" s="213">
        <v>120079</v>
      </c>
    </row>
    <row r="81" spans="1:6" ht="15.95" customHeight="1">
      <c r="A81" s="211" t="s">
        <v>309</v>
      </c>
      <c r="B81" s="211" t="s">
        <v>309</v>
      </c>
      <c r="C81" s="211" t="s">
        <v>332</v>
      </c>
      <c r="D81" s="212" t="s">
        <v>208</v>
      </c>
      <c r="E81" s="213">
        <v>0</v>
      </c>
      <c r="F81" s="213">
        <v>8941</v>
      </c>
    </row>
    <row r="82" spans="1:6" ht="15.95" customHeight="1">
      <c r="A82" s="211" t="s">
        <v>309</v>
      </c>
      <c r="B82" s="211" t="s">
        <v>309</v>
      </c>
      <c r="C82" s="211" t="s">
        <v>347</v>
      </c>
      <c r="D82" s="212" t="s">
        <v>220</v>
      </c>
      <c r="E82" s="213">
        <v>0</v>
      </c>
      <c r="F82" s="213">
        <v>5729572</v>
      </c>
    </row>
    <row r="83" spans="1:6" ht="28.5" customHeight="1">
      <c r="A83" s="211" t="s">
        <v>309</v>
      </c>
      <c r="B83" s="211" t="s">
        <v>309</v>
      </c>
      <c r="C83" s="211" t="s">
        <v>348</v>
      </c>
      <c r="D83" s="212" t="s">
        <v>221</v>
      </c>
      <c r="E83" s="213">
        <v>0</v>
      </c>
      <c r="F83" s="213">
        <v>151664</v>
      </c>
    </row>
    <row r="84" spans="1:6" ht="30" customHeight="1">
      <c r="A84" s="211" t="s">
        <v>309</v>
      </c>
      <c r="B84" s="211" t="s">
        <v>309</v>
      </c>
      <c r="C84" s="211" t="s">
        <v>349</v>
      </c>
      <c r="D84" s="212" t="s">
        <v>222</v>
      </c>
      <c r="E84" s="213">
        <v>0</v>
      </c>
      <c r="F84" s="213">
        <v>441418</v>
      </c>
    </row>
    <row r="85" spans="1:6" ht="25.5" customHeight="1">
      <c r="A85" s="211" t="s">
        <v>309</v>
      </c>
      <c r="B85" s="211" t="s">
        <v>309</v>
      </c>
      <c r="C85" s="211" t="s">
        <v>350</v>
      </c>
      <c r="D85" s="212" t="s">
        <v>267</v>
      </c>
      <c r="E85" s="213">
        <v>0</v>
      </c>
      <c r="F85" s="213">
        <v>78677</v>
      </c>
    </row>
    <row r="86" spans="1:6" ht="15.95" customHeight="1">
      <c r="A86" s="211" t="s">
        <v>309</v>
      </c>
      <c r="B86" s="211" t="s">
        <v>309</v>
      </c>
      <c r="C86" s="211" t="s">
        <v>315</v>
      </c>
      <c r="D86" s="212" t="s">
        <v>191</v>
      </c>
      <c r="E86" s="213">
        <v>0</v>
      </c>
      <c r="F86" s="213">
        <v>32955</v>
      </c>
    </row>
    <row r="87" spans="1:6" ht="15.95" customHeight="1">
      <c r="A87" s="211" t="s">
        <v>309</v>
      </c>
      <c r="B87" s="211" t="s">
        <v>309</v>
      </c>
      <c r="C87" s="211" t="s">
        <v>316</v>
      </c>
      <c r="D87" s="212" t="s">
        <v>412</v>
      </c>
      <c r="E87" s="213">
        <v>0</v>
      </c>
      <c r="F87" s="213">
        <v>4456</v>
      </c>
    </row>
    <row r="88" spans="1:6" ht="15.95" customHeight="1">
      <c r="A88" s="211" t="s">
        <v>309</v>
      </c>
      <c r="B88" s="211" t="s">
        <v>309</v>
      </c>
      <c r="C88" s="211" t="s">
        <v>317</v>
      </c>
      <c r="D88" s="212" t="s">
        <v>192</v>
      </c>
      <c r="E88" s="213">
        <v>0</v>
      </c>
      <c r="F88" s="213">
        <v>26842</v>
      </c>
    </row>
    <row r="89" spans="1:6" ht="30" customHeight="1">
      <c r="A89" s="211" t="s">
        <v>309</v>
      </c>
      <c r="B89" s="211" t="s">
        <v>309</v>
      </c>
      <c r="C89" s="211" t="s">
        <v>351</v>
      </c>
      <c r="D89" s="212" t="s">
        <v>352</v>
      </c>
      <c r="E89" s="213">
        <v>0</v>
      </c>
      <c r="F89" s="213">
        <v>989268</v>
      </c>
    </row>
    <row r="90" spans="1:6" ht="15.95" customHeight="1">
      <c r="A90" s="211" t="s">
        <v>309</v>
      </c>
      <c r="B90" s="211" t="s">
        <v>309</v>
      </c>
      <c r="C90" s="211" t="s">
        <v>318</v>
      </c>
      <c r="D90" s="212" t="s">
        <v>193</v>
      </c>
      <c r="E90" s="213">
        <v>0</v>
      </c>
      <c r="F90" s="213">
        <v>344299</v>
      </c>
    </row>
    <row r="91" spans="1:6" ht="15.95" customHeight="1">
      <c r="A91" s="211" t="s">
        <v>309</v>
      </c>
      <c r="B91" s="211" t="s">
        <v>309</v>
      </c>
      <c r="C91" s="211" t="s">
        <v>353</v>
      </c>
      <c r="D91" s="212" t="s">
        <v>223</v>
      </c>
      <c r="E91" s="213">
        <v>0</v>
      </c>
      <c r="F91" s="213">
        <v>7066</v>
      </c>
    </row>
    <row r="92" spans="1:6" ht="15.95" customHeight="1">
      <c r="A92" s="211" t="s">
        <v>309</v>
      </c>
      <c r="B92" s="211" t="s">
        <v>309</v>
      </c>
      <c r="C92" s="211" t="s">
        <v>354</v>
      </c>
      <c r="D92" s="212" t="s">
        <v>224</v>
      </c>
      <c r="E92" s="213">
        <v>0</v>
      </c>
      <c r="F92" s="213">
        <v>3951</v>
      </c>
    </row>
    <row r="93" spans="1:6" ht="15.95" customHeight="1">
      <c r="A93" s="211" t="s">
        <v>309</v>
      </c>
      <c r="B93" s="211" t="s">
        <v>309</v>
      </c>
      <c r="C93" s="211" t="s">
        <v>355</v>
      </c>
      <c r="D93" s="212" t="s">
        <v>225</v>
      </c>
      <c r="E93" s="213">
        <v>0</v>
      </c>
      <c r="F93" s="213">
        <v>34711</v>
      </c>
    </row>
    <row r="94" spans="1:6" ht="15.95" customHeight="1">
      <c r="A94" s="211" t="s">
        <v>309</v>
      </c>
      <c r="B94" s="211" t="s">
        <v>309</v>
      </c>
      <c r="C94" s="211" t="s">
        <v>319</v>
      </c>
      <c r="D94" s="212" t="s">
        <v>194</v>
      </c>
      <c r="E94" s="213">
        <v>0</v>
      </c>
      <c r="F94" s="213">
        <v>91743</v>
      </c>
    </row>
    <row r="95" spans="1:6" ht="15.95" customHeight="1">
      <c r="A95" s="211" t="s">
        <v>309</v>
      </c>
      <c r="B95" s="211" t="s">
        <v>309</v>
      </c>
      <c r="C95" s="211" t="s">
        <v>320</v>
      </c>
      <c r="D95" s="212" t="s">
        <v>195</v>
      </c>
      <c r="E95" s="213">
        <v>0</v>
      </c>
      <c r="F95" s="213">
        <v>211660</v>
      </c>
    </row>
    <row r="96" spans="1:6" ht="15.95" customHeight="1">
      <c r="A96" s="211" t="s">
        <v>309</v>
      </c>
      <c r="B96" s="211" t="s">
        <v>309</v>
      </c>
      <c r="C96" s="211" t="s">
        <v>333</v>
      </c>
      <c r="D96" s="212" t="s">
        <v>209</v>
      </c>
      <c r="E96" s="213">
        <v>0</v>
      </c>
      <c r="F96" s="213">
        <v>34886</v>
      </c>
    </row>
    <row r="97" spans="1:6" ht="15.95" customHeight="1">
      <c r="A97" s="211" t="s">
        <v>309</v>
      </c>
      <c r="B97" s="211" t="s">
        <v>309</v>
      </c>
      <c r="C97" s="211" t="s">
        <v>311</v>
      </c>
      <c r="D97" s="212" t="s">
        <v>187</v>
      </c>
      <c r="E97" s="213">
        <v>0</v>
      </c>
      <c r="F97" s="213">
        <v>74915</v>
      </c>
    </row>
    <row r="98" spans="1:6" ht="15.95" customHeight="1">
      <c r="A98" s="211" t="s">
        <v>309</v>
      </c>
      <c r="B98" s="211" t="s">
        <v>309</v>
      </c>
      <c r="C98" s="211" t="s">
        <v>334</v>
      </c>
      <c r="D98" s="212" t="s">
        <v>335</v>
      </c>
      <c r="E98" s="213">
        <v>0</v>
      </c>
      <c r="F98" s="213">
        <v>5580</v>
      </c>
    </row>
    <row r="99" spans="1:6" ht="15.95" customHeight="1">
      <c r="A99" s="211" t="s">
        <v>309</v>
      </c>
      <c r="B99" s="211" t="s">
        <v>309</v>
      </c>
      <c r="C99" s="211" t="s">
        <v>336</v>
      </c>
      <c r="D99" s="212" t="s">
        <v>210</v>
      </c>
      <c r="E99" s="213">
        <v>0</v>
      </c>
      <c r="F99" s="213">
        <v>7387</v>
      </c>
    </row>
    <row r="100" spans="1:6" ht="15.95" customHeight="1">
      <c r="A100" s="211" t="s">
        <v>309</v>
      </c>
      <c r="B100" s="211" t="s">
        <v>309</v>
      </c>
      <c r="C100" s="211" t="s">
        <v>322</v>
      </c>
      <c r="D100" s="212" t="s">
        <v>197</v>
      </c>
      <c r="E100" s="213">
        <v>0</v>
      </c>
      <c r="F100" s="213">
        <v>2128</v>
      </c>
    </row>
    <row r="101" spans="1:6" ht="15.95" customHeight="1">
      <c r="A101" s="211" t="s">
        <v>309</v>
      </c>
      <c r="B101" s="211" t="s">
        <v>309</v>
      </c>
      <c r="C101" s="211" t="s">
        <v>337</v>
      </c>
      <c r="D101" s="212" t="s">
        <v>211</v>
      </c>
      <c r="E101" s="213">
        <v>0</v>
      </c>
      <c r="F101" s="213">
        <v>6202</v>
      </c>
    </row>
    <row r="102" spans="1:6" ht="15.95" customHeight="1">
      <c r="A102" s="211" t="s">
        <v>309</v>
      </c>
      <c r="B102" s="211" t="s">
        <v>309</v>
      </c>
      <c r="C102" s="211" t="s">
        <v>323</v>
      </c>
      <c r="D102" s="212" t="s">
        <v>198</v>
      </c>
      <c r="E102" s="213">
        <v>0</v>
      </c>
      <c r="F102" s="213">
        <v>9511</v>
      </c>
    </row>
    <row r="103" spans="1:6" ht="30" customHeight="1">
      <c r="A103" s="211" t="s">
        <v>309</v>
      </c>
      <c r="B103" s="211" t="s">
        <v>309</v>
      </c>
      <c r="C103" s="211" t="s">
        <v>338</v>
      </c>
      <c r="D103" s="212" t="s">
        <v>212</v>
      </c>
      <c r="E103" s="213">
        <v>0</v>
      </c>
      <c r="F103" s="213">
        <v>0</v>
      </c>
    </row>
    <row r="104" spans="1:6" ht="24.75" customHeight="1">
      <c r="A104" s="211" t="s">
        <v>309</v>
      </c>
      <c r="B104" s="211" t="s">
        <v>309</v>
      </c>
      <c r="C104" s="211" t="s">
        <v>339</v>
      </c>
      <c r="D104" s="212" t="s">
        <v>213</v>
      </c>
      <c r="E104" s="213">
        <v>0</v>
      </c>
      <c r="F104" s="213">
        <v>1100</v>
      </c>
    </row>
    <row r="105" spans="1:6" ht="18" customHeight="1">
      <c r="A105" s="211" t="s">
        <v>309</v>
      </c>
      <c r="B105" s="211" t="s">
        <v>309</v>
      </c>
      <c r="C105" s="211" t="s">
        <v>382</v>
      </c>
      <c r="D105" s="212" t="s">
        <v>383</v>
      </c>
      <c r="E105" s="213">
        <v>0</v>
      </c>
      <c r="F105" s="213">
        <v>105000</v>
      </c>
    </row>
    <row r="106" spans="1:6" ht="19.5" customHeight="1">
      <c r="A106" s="205" t="s">
        <v>226</v>
      </c>
      <c r="B106" s="205" t="s">
        <v>309</v>
      </c>
      <c r="C106" s="205" t="s">
        <v>309</v>
      </c>
      <c r="D106" s="206" t="s">
        <v>227</v>
      </c>
      <c r="E106" s="207">
        <v>320100</v>
      </c>
      <c r="F106" s="207">
        <v>320100</v>
      </c>
    </row>
    <row r="107" spans="1:6" ht="39.950000000000003" customHeight="1">
      <c r="A107" s="208" t="s">
        <v>309</v>
      </c>
      <c r="B107" s="208" t="s">
        <v>228</v>
      </c>
      <c r="C107" s="208" t="s">
        <v>309</v>
      </c>
      <c r="D107" s="209" t="s">
        <v>229</v>
      </c>
      <c r="E107" s="210">
        <v>320100</v>
      </c>
      <c r="F107" s="210">
        <v>320100</v>
      </c>
    </row>
    <row r="108" spans="1:6" ht="43.5" customHeight="1">
      <c r="A108" s="211" t="s">
        <v>309</v>
      </c>
      <c r="B108" s="211" t="s">
        <v>309</v>
      </c>
      <c r="C108" s="211" t="s">
        <v>310</v>
      </c>
      <c r="D108" s="212" t="s">
        <v>186</v>
      </c>
      <c r="E108" s="213">
        <v>320100</v>
      </c>
      <c r="F108" s="213">
        <v>0</v>
      </c>
    </row>
    <row r="109" spans="1:6" ht="15.95" customHeight="1">
      <c r="A109" s="211" t="s">
        <v>309</v>
      </c>
      <c r="B109" s="211" t="s">
        <v>309</v>
      </c>
      <c r="C109" s="211" t="s">
        <v>314</v>
      </c>
      <c r="D109" s="212" t="s">
        <v>190</v>
      </c>
      <c r="E109" s="213">
        <v>0</v>
      </c>
      <c r="F109" s="213">
        <v>5400</v>
      </c>
    </row>
    <row r="110" spans="1:6" ht="15.95" customHeight="1">
      <c r="A110" s="211" t="s">
        <v>309</v>
      </c>
      <c r="B110" s="211" t="s">
        <v>309</v>
      </c>
      <c r="C110" s="211" t="s">
        <v>315</v>
      </c>
      <c r="D110" s="212" t="s">
        <v>191</v>
      </c>
      <c r="E110" s="213">
        <v>0</v>
      </c>
      <c r="F110" s="213">
        <v>924</v>
      </c>
    </row>
    <row r="111" spans="1:6" ht="15.95" customHeight="1">
      <c r="A111" s="211" t="s">
        <v>309</v>
      </c>
      <c r="B111" s="211" t="s">
        <v>309</v>
      </c>
      <c r="C111" s="211" t="s">
        <v>316</v>
      </c>
      <c r="D111" s="212" t="s">
        <v>412</v>
      </c>
      <c r="E111" s="213">
        <v>0</v>
      </c>
      <c r="F111" s="213">
        <v>132</v>
      </c>
    </row>
    <row r="112" spans="1:6" ht="15.95" customHeight="1">
      <c r="A112" s="211" t="s">
        <v>309</v>
      </c>
      <c r="B112" s="211" t="s">
        <v>309</v>
      </c>
      <c r="C112" s="211" t="s">
        <v>318</v>
      </c>
      <c r="D112" s="212" t="s">
        <v>193</v>
      </c>
      <c r="E112" s="213">
        <v>0</v>
      </c>
      <c r="F112" s="213">
        <v>5964</v>
      </c>
    </row>
    <row r="113" spans="1:6" ht="15.95" customHeight="1">
      <c r="A113" s="211" t="s">
        <v>309</v>
      </c>
      <c r="B113" s="211" t="s">
        <v>309</v>
      </c>
      <c r="C113" s="211" t="s">
        <v>311</v>
      </c>
      <c r="D113" s="212" t="s">
        <v>187</v>
      </c>
      <c r="E113" s="213">
        <v>0</v>
      </c>
      <c r="F113" s="213">
        <v>307680</v>
      </c>
    </row>
    <row r="114" spans="1:6" ht="18" customHeight="1">
      <c r="A114" s="205" t="s">
        <v>280</v>
      </c>
      <c r="B114" s="205" t="s">
        <v>309</v>
      </c>
      <c r="C114" s="205" t="s">
        <v>309</v>
      </c>
      <c r="D114" s="206" t="s">
        <v>266</v>
      </c>
      <c r="E114" s="207">
        <v>52630</v>
      </c>
      <c r="F114" s="207">
        <v>52630</v>
      </c>
    </row>
    <row r="115" spans="1:6" ht="39.950000000000003" customHeight="1">
      <c r="A115" s="208" t="s">
        <v>309</v>
      </c>
      <c r="B115" s="208" t="s">
        <v>281</v>
      </c>
      <c r="C115" s="208" t="s">
        <v>309</v>
      </c>
      <c r="D115" s="209" t="s">
        <v>282</v>
      </c>
      <c r="E115" s="210">
        <v>52630</v>
      </c>
      <c r="F115" s="210">
        <v>52630</v>
      </c>
    </row>
    <row r="116" spans="1:6" ht="42" customHeight="1">
      <c r="A116" s="211" t="s">
        <v>309</v>
      </c>
      <c r="B116" s="211" t="s">
        <v>309</v>
      </c>
      <c r="C116" s="211" t="s">
        <v>310</v>
      </c>
      <c r="D116" s="212" t="s">
        <v>186</v>
      </c>
      <c r="E116" s="213">
        <v>52630</v>
      </c>
      <c r="F116" s="213">
        <v>0</v>
      </c>
    </row>
    <row r="117" spans="1:6" ht="43.5" customHeight="1">
      <c r="A117" s="211" t="s">
        <v>309</v>
      </c>
      <c r="B117" s="211" t="s">
        <v>309</v>
      </c>
      <c r="C117" s="211" t="s">
        <v>308</v>
      </c>
      <c r="D117" s="212" t="s">
        <v>250</v>
      </c>
      <c r="E117" s="213">
        <v>0</v>
      </c>
      <c r="F117" s="213">
        <v>12024</v>
      </c>
    </row>
    <row r="118" spans="1:6" ht="18" customHeight="1">
      <c r="A118" s="211" t="s">
        <v>309</v>
      </c>
      <c r="B118" s="211" t="s">
        <v>309</v>
      </c>
      <c r="C118" s="211" t="s">
        <v>356</v>
      </c>
      <c r="D118" s="212" t="s">
        <v>283</v>
      </c>
      <c r="E118" s="213">
        <v>0</v>
      </c>
      <c r="F118" s="213">
        <v>40606</v>
      </c>
    </row>
    <row r="119" spans="1:6" ht="17.25" customHeight="1">
      <c r="A119" s="205" t="s">
        <v>357</v>
      </c>
      <c r="B119" s="205" t="s">
        <v>309</v>
      </c>
      <c r="C119" s="205" t="s">
        <v>309</v>
      </c>
      <c r="D119" s="206" t="s">
        <v>230</v>
      </c>
      <c r="E119" s="207">
        <v>1422790</v>
      </c>
      <c r="F119" s="207">
        <v>1422790</v>
      </c>
    </row>
    <row r="120" spans="1:6" ht="39.950000000000003" customHeight="1">
      <c r="A120" s="208" t="s">
        <v>309</v>
      </c>
      <c r="B120" s="208" t="s">
        <v>358</v>
      </c>
      <c r="C120" s="208" t="s">
        <v>309</v>
      </c>
      <c r="D120" s="209" t="s">
        <v>359</v>
      </c>
      <c r="E120" s="210">
        <v>1422790</v>
      </c>
      <c r="F120" s="210">
        <v>1422790</v>
      </c>
    </row>
    <row r="121" spans="1:6" ht="42" customHeight="1">
      <c r="A121" s="211" t="s">
        <v>309</v>
      </c>
      <c r="B121" s="211" t="s">
        <v>309</v>
      </c>
      <c r="C121" s="211" t="s">
        <v>310</v>
      </c>
      <c r="D121" s="212" t="s">
        <v>186</v>
      </c>
      <c r="E121" s="213">
        <v>1422790</v>
      </c>
      <c r="F121" s="213">
        <v>0</v>
      </c>
    </row>
    <row r="122" spans="1:6" ht="19.5" customHeight="1">
      <c r="A122" s="211" t="s">
        <v>309</v>
      </c>
      <c r="B122" s="211" t="s">
        <v>309</v>
      </c>
      <c r="C122" s="211" t="s">
        <v>360</v>
      </c>
      <c r="D122" s="212" t="s">
        <v>231</v>
      </c>
      <c r="E122" s="213">
        <v>0</v>
      </c>
      <c r="F122" s="213">
        <v>1422790</v>
      </c>
    </row>
    <row r="123" spans="1:6" ht="17.25" customHeight="1">
      <c r="A123" s="205" t="s">
        <v>232</v>
      </c>
      <c r="B123" s="205" t="s">
        <v>309</v>
      </c>
      <c r="C123" s="205" t="s">
        <v>309</v>
      </c>
      <c r="D123" s="206" t="s">
        <v>233</v>
      </c>
      <c r="E123" s="207">
        <v>897718</v>
      </c>
      <c r="F123" s="207">
        <v>897718</v>
      </c>
    </row>
    <row r="124" spans="1:6" ht="39.950000000000003" customHeight="1">
      <c r="A124" s="208" t="s">
        <v>309</v>
      </c>
      <c r="B124" s="208" t="s">
        <v>361</v>
      </c>
      <c r="C124" s="208" t="s">
        <v>309</v>
      </c>
      <c r="D124" s="209" t="s">
        <v>234</v>
      </c>
      <c r="E124" s="210">
        <v>897718</v>
      </c>
      <c r="F124" s="210">
        <v>897718</v>
      </c>
    </row>
    <row r="125" spans="1:6" ht="44.25" customHeight="1">
      <c r="A125" s="211" t="s">
        <v>309</v>
      </c>
      <c r="B125" s="211" t="s">
        <v>309</v>
      </c>
      <c r="C125" s="211" t="s">
        <v>310</v>
      </c>
      <c r="D125" s="212" t="s">
        <v>186</v>
      </c>
      <c r="E125" s="213">
        <v>897718</v>
      </c>
      <c r="F125" s="213">
        <v>0</v>
      </c>
    </row>
    <row r="126" spans="1:6" ht="15.95" customHeight="1">
      <c r="A126" s="211" t="s">
        <v>309</v>
      </c>
      <c r="B126" s="211" t="s">
        <v>309</v>
      </c>
      <c r="C126" s="211" t="s">
        <v>330</v>
      </c>
      <c r="D126" s="212" t="s">
        <v>206</v>
      </c>
      <c r="E126" s="213">
        <v>0</v>
      </c>
      <c r="F126" s="213">
        <v>321</v>
      </c>
    </row>
    <row r="127" spans="1:6" ht="15.95" customHeight="1">
      <c r="A127" s="211" t="s">
        <v>309</v>
      </c>
      <c r="B127" s="211" t="s">
        <v>309</v>
      </c>
      <c r="C127" s="211" t="s">
        <v>314</v>
      </c>
      <c r="D127" s="212" t="s">
        <v>190</v>
      </c>
      <c r="E127" s="213">
        <v>0</v>
      </c>
      <c r="F127" s="213">
        <v>515429</v>
      </c>
    </row>
    <row r="128" spans="1:6" ht="15.95" customHeight="1">
      <c r="A128" s="211" t="s">
        <v>309</v>
      </c>
      <c r="B128" s="211" t="s">
        <v>309</v>
      </c>
      <c r="C128" s="211" t="s">
        <v>332</v>
      </c>
      <c r="D128" s="212" t="s">
        <v>208</v>
      </c>
      <c r="E128" s="213">
        <v>0</v>
      </c>
      <c r="F128" s="213">
        <v>33487</v>
      </c>
    </row>
    <row r="129" spans="1:6" ht="15.95" customHeight="1">
      <c r="A129" s="211" t="s">
        <v>309</v>
      </c>
      <c r="B129" s="211" t="s">
        <v>309</v>
      </c>
      <c r="C129" s="211" t="s">
        <v>315</v>
      </c>
      <c r="D129" s="212" t="s">
        <v>191</v>
      </c>
      <c r="E129" s="213">
        <v>0</v>
      </c>
      <c r="F129" s="213">
        <v>91270</v>
      </c>
    </row>
    <row r="130" spans="1:6" ht="15.95" customHeight="1">
      <c r="A130" s="211" t="s">
        <v>309</v>
      </c>
      <c r="B130" s="211" t="s">
        <v>309</v>
      </c>
      <c r="C130" s="211" t="s">
        <v>316</v>
      </c>
      <c r="D130" s="212" t="s">
        <v>412</v>
      </c>
      <c r="E130" s="213">
        <v>0</v>
      </c>
      <c r="F130" s="213">
        <v>8650</v>
      </c>
    </row>
    <row r="131" spans="1:6" ht="15.95" customHeight="1">
      <c r="A131" s="211" t="s">
        <v>309</v>
      </c>
      <c r="B131" s="211" t="s">
        <v>309</v>
      </c>
      <c r="C131" s="211" t="s">
        <v>317</v>
      </c>
      <c r="D131" s="212" t="s">
        <v>192</v>
      </c>
      <c r="E131" s="213">
        <v>0</v>
      </c>
      <c r="F131" s="213">
        <v>2994</v>
      </c>
    </row>
    <row r="132" spans="1:6" ht="15.95" customHeight="1">
      <c r="A132" s="211" t="s">
        <v>309</v>
      </c>
      <c r="B132" s="211" t="s">
        <v>309</v>
      </c>
      <c r="C132" s="211" t="s">
        <v>318</v>
      </c>
      <c r="D132" s="212" t="s">
        <v>193</v>
      </c>
      <c r="E132" s="213">
        <v>0</v>
      </c>
      <c r="F132" s="213">
        <v>65095</v>
      </c>
    </row>
    <row r="133" spans="1:6" ht="15.95" customHeight="1">
      <c r="A133" s="211" t="s">
        <v>309</v>
      </c>
      <c r="B133" s="211" t="s">
        <v>309</v>
      </c>
      <c r="C133" s="211" t="s">
        <v>353</v>
      </c>
      <c r="D133" s="212" t="s">
        <v>223</v>
      </c>
      <c r="E133" s="213">
        <v>0</v>
      </c>
      <c r="F133" s="213">
        <v>21280</v>
      </c>
    </row>
    <row r="134" spans="1:6" ht="15.95" customHeight="1">
      <c r="A134" s="211" t="s">
        <v>309</v>
      </c>
      <c r="B134" s="211" t="s">
        <v>309</v>
      </c>
      <c r="C134" s="211" t="s">
        <v>319</v>
      </c>
      <c r="D134" s="212" t="s">
        <v>194</v>
      </c>
      <c r="E134" s="213">
        <v>0</v>
      </c>
      <c r="F134" s="213">
        <v>9600</v>
      </c>
    </row>
    <row r="135" spans="1:6" ht="15.95" customHeight="1">
      <c r="A135" s="211" t="s">
        <v>309</v>
      </c>
      <c r="B135" s="211" t="s">
        <v>309</v>
      </c>
      <c r="C135" s="211" t="s">
        <v>320</v>
      </c>
      <c r="D135" s="212" t="s">
        <v>195</v>
      </c>
      <c r="E135" s="213">
        <v>0</v>
      </c>
      <c r="F135" s="213">
        <v>9916</v>
      </c>
    </row>
    <row r="136" spans="1:6" ht="15.95" customHeight="1">
      <c r="A136" s="211" t="s">
        <v>309</v>
      </c>
      <c r="B136" s="211" t="s">
        <v>309</v>
      </c>
      <c r="C136" s="211" t="s">
        <v>333</v>
      </c>
      <c r="D136" s="212" t="s">
        <v>209</v>
      </c>
      <c r="E136" s="213">
        <v>0</v>
      </c>
      <c r="F136" s="213">
        <v>180</v>
      </c>
    </row>
    <row r="137" spans="1:6" ht="15.95" customHeight="1">
      <c r="A137" s="211" t="s">
        <v>309</v>
      </c>
      <c r="B137" s="211" t="s">
        <v>309</v>
      </c>
      <c r="C137" s="211" t="s">
        <v>311</v>
      </c>
      <c r="D137" s="212" t="s">
        <v>187</v>
      </c>
      <c r="E137" s="213">
        <v>0</v>
      </c>
      <c r="F137" s="213">
        <v>100959</v>
      </c>
    </row>
    <row r="138" spans="1:6" ht="15.95" customHeight="1">
      <c r="A138" s="211" t="s">
        <v>309</v>
      </c>
      <c r="B138" s="211" t="s">
        <v>309</v>
      </c>
      <c r="C138" s="211" t="s">
        <v>334</v>
      </c>
      <c r="D138" s="212" t="s">
        <v>335</v>
      </c>
      <c r="E138" s="213">
        <v>0</v>
      </c>
      <c r="F138" s="213">
        <v>2967</v>
      </c>
    </row>
    <row r="139" spans="1:6" ht="15.95" customHeight="1">
      <c r="A139" s="211" t="s">
        <v>309</v>
      </c>
      <c r="B139" s="211" t="s">
        <v>309</v>
      </c>
      <c r="C139" s="211" t="s">
        <v>336</v>
      </c>
      <c r="D139" s="212" t="s">
        <v>210</v>
      </c>
      <c r="E139" s="213">
        <v>0</v>
      </c>
      <c r="F139" s="213">
        <v>1506</v>
      </c>
    </row>
    <row r="140" spans="1:6" ht="15.95" customHeight="1">
      <c r="A140" s="211" t="s">
        <v>309</v>
      </c>
      <c r="B140" s="211" t="s">
        <v>309</v>
      </c>
      <c r="C140" s="211" t="s">
        <v>322</v>
      </c>
      <c r="D140" s="212" t="s">
        <v>197</v>
      </c>
      <c r="E140" s="213">
        <v>0</v>
      </c>
      <c r="F140" s="213">
        <v>1200</v>
      </c>
    </row>
    <row r="141" spans="1:6" ht="15.95" customHeight="1">
      <c r="A141" s="211" t="s">
        <v>309</v>
      </c>
      <c r="B141" s="211" t="s">
        <v>309</v>
      </c>
      <c r="C141" s="211" t="s">
        <v>337</v>
      </c>
      <c r="D141" s="212" t="s">
        <v>211</v>
      </c>
      <c r="E141" s="213">
        <v>0</v>
      </c>
      <c r="F141" s="213">
        <v>14175</v>
      </c>
    </row>
    <row r="142" spans="1:6" ht="15.95" customHeight="1">
      <c r="A142" s="211" t="s">
        <v>309</v>
      </c>
      <c r="B142" s="211" t="s">
        <v>309</v>
      </c>
      <c r="C142" s="211" t="s">
        <v>323</v>
      </c>
      <c r="D142" s="212" t="s">
        <v>198</v>
      </c>
      <c r="E142" s="213">
        <v>0</v>
      </c>
      <c r="F142" s="213">
        <v>3632</v>
      </c>
    </row>
    <row r="143" spans="1:6" ht="30" customHeight="1">
      <c r="A143" s="211" t="s">
        <v>309</v>
      </c>
      <c r="B143" s="211" t="s">
        <v>309</v>
      </c>
      <c r="C143" s="211" t="s">
        <v>324</v>
      </c>
      <c r="D143" s="212" t="s">
        <v>199</v>
      </c>
      <c r="E143" s="213">
        <v>0</v>
      </c>
      <c r="F143" s="213">
        <v>3057</v>
      </c>
    </row>
    <row r="144" spans="1:6" ht="24">
      <c r="A144" s="211" t="s">
        <v>309</v>
      </c>
      <c r="B144" s="211" t="s">
        <v>309</v>
      </c>
      <c r="C144" s="211" t="s">
        <v>339</v>
      </c>
      <c r="D144" s="212" t="s">
        <v>213</v>
      </c>
      <c r="E144" s="213">
        <v>0</v>
      </c>
      <c r="F144" s="213">
        <v>12000</v>
      </c>
    </row>
    <row r="145" spans="1:6" ht="16.5" customHeight="1">
      <c r="A145" s="205" t="s">
        <v>362</v>
      </c>
      <c r="B145" s="205" t="s">
        <v>309</v>
      </c>
      <c r="C145" s="205" t="s">
        <v>309</v>
      </c>
      <c r="D145" s="206" t="s">
        <v>4</v>
      </c>
      <c r="E145" s="207">
        <v>417850.35</v>
      </c>
      <c r="F145" s="207">
        <v>417850.35</v>
      </c>
    </row>
    <row r="146" spans="1:6" ht="39.950000000000003" customHeight="1">
      <c r="A146" s="208" t="s">
        <v>309</v>
      </c>
      <c r="B146" s="208" t="s">
        <v>363</v>
      </c>
      <c r="C146" s="208" t="s">
        <v>309</v>
      </c>
      <c r="D146" s="209" t="s">
        <v>235</v>
      </c>
      <c r="E146" s="210">
        <v>299132.84999999998</v>
      </c>
      <c r="F146" s="210">
        <v>299132.84999999998</v>
      </c>
    </row>
    <row r="147" spans="1:6" ht="50.25" customHeight="1">
      <c r="A147" s="211" t="s">
        <v>309</v>
      </c>
      <c r="B147" s="211" t="s">
        <v>309</v>
      </c>
      <c r="C147" s="211" t="s">
        <v>310</v>
      </c>
      <c r="D147" s="212" t="s">
        <v>186</v>
      </c>
      <c r="E147" s="213">
        <v>299132.84999999998</v>
      </c>
      <c r="F147" s="213">
        <v>0</v>
      </c>
    </row>
    <row r="148" spans="1:6" ht="15.95" customHeight="1">
      <c r="A148" s="211" t="s">
        <v>309</v>
      </c>
      <c r="B148" s="211" t="s">
        <v>309</v>
      </c>
      <c r="C148" s="211" t="s">
        <v>330</v>
      </c>
      <c r="D148" s="212" t="s">
        <v>206</v>
      </c>
      <c r="E148" s="213">
        <v>0</v>
      </c>
      <c r="F148" s="213">
        <v>50</v>
      </c>
    </row>
    <row r="149" spans="1:6" ht="15.95" customHeight="1">
      <c r="A149" s="211" t="s">
        <v>309</v>
      </c>
      <c r="B149" s="211" t="s">
        <v>309</v>
      </c>
      <c r="C149" s="211" t="s">
        <v>314</v>
      </c>
      <c r="D149" s="212" t="s">
        <v>190</v>
      </c>
      <c r="E149" s="213">
        <v>0</v>
      </c>
      <c r="F149" s="213">
        <v>85765</v>
      </c>
    </row>
    <row r="150" spans="1:6" ht="15.95" customHeight="1">
      <c r="A150" s="211" t="s">
        <v>309</v>
      </c>
      <c r="B150" s="211" t="s">
        <v>309</v>
      </c>
      <c r="C150" s="211" t="s">
        <v>332</v>
      </c>
      <c r="D150" s="212" t="s">
        <v>208</v>
      </c>
      <c r="E150" s="213">
        <v>0</v>
      </c>
      <c r="F150" s="213">
        <v>4344</v>
      </c>
    </row>
    <row r="151" spans="1:6" ht="15.95" customHeight="1">
      <c r="A151" s="211" t="s">
        <v>309</v>
      </c>
      <c r="B151" s="211" t="s">
        <v>309</v>
      </c>
      <c r="C151" s="211" t="s">
        <v>315</v>
      </c>
      <c r="D151" s="212" t="s">
        <v>191</v>
      </c>
      <c r="E151" s="213">
        <v>0</v>
      </c>
      <c r="F151" s="213">
        <v>17983</v>
      </c>
    </row>
    <row r="152" spans="1:6" ht="15.95" customHeight="1">
      <c r="A152" s="211" t="s">
        <v>309</v>
      </c>
      <c r="B152" s="211" t="s">
        <v>309</v>
      </c>
      <c r="C152" s="211" t="s">
        <v>316</v>
      </c>
      <c r="D152" s="212" t="s">
        <v>412</v>
      </c>
      <c r="E152" s="213">
        <v>0</v>
      </c>
      <c r="F152" s="213">
        <v>1562</v>
      </c>
    </row>
    <row r="153" spans="1:6" ht="15.95" customHeight="1">
      <c r="A153" s="211" t="s">
        <v>309</v>
      </c>
      <c r="B153" s="211" t="s">
        <v>309</v>
      </c>
      <c r="C153" s="211" t="s">
        <v>317</v>
      </c>
      <c r="D153" s="212" t="s">
        <v>192</v>
      </c>
      <c r="E153" s="213">
        <v>0</v>
      </c>
      <c r="F153" s="213">
        <v>31381</v>
      </c>
    </row>
    <row r="154" spans="1:6" ht="15.95" customHeight="1">
      <c r="A154" s="211" t="s">
        <v>309</v>
      </c>
      <c r="B154" s="211" t="s">
        <v>309</v>
      </c>
      <c r="C154" s="211" t="s">
        <v>318</v>
      </c>
      <c r="D154" s="212" t="s">
        <v>193</v>
      </c>
      <c r="E154" s="213">
        <v>0</v>
      </c>
      <c r="F154" s="213">
        <v>53153.85</v>
      </c>
    </row>
    <row r="155" spans="1:6" ht="15.95" customHeight="1">
      <c r="A155" s="211" t="s">
        <v>309</v>
      </c>
      <c r="B155" s="211" t="s">
        <v>309</v>
      </c>
      <c r="C155" s="211" t="s">
        <v>320</v>
      </c>
      <c r="D155" s="212" t="s">
        <v>195</v>
      </c>
      <c r="E155" s="213">
        <v>0</v>
      </c>
      <c r="F155" s="213">
        <v>32602</v>
      </c>
    </row>
    <row r="156" spans="1:6" ht="15.95" customHeight="1">
      <c r="A156" s="211" t="s">
        <v>309</v>
      </c>
      <c r="B156" s="211" t="s">
        <v>309</v>
      </c>
      <c r="C156" s="211" t="s">
        <v>333</v>
      </c>
      <c r="D156" s="212" t="s">
        <v>209</v>
      </c>
      <c r="E156" s="213">
        <v>0</v>
      </c>
      <c r="F156" s="213">
        <v>0</v>
      </c>
    </row>
    <row r="157" spans="1:6" ht="15.95" customHeight="1">
      <c r="A157" s="211" t="s">
        <v>309</v>
      </c>
      <c r="B157" s="211" t="s">
        <v>309</v>
      </c>
      <c r="C157" s="211" t="s">
        <v>311</v>
      </c>
      <c r="D157" s="212" t="s">
        <v>187</v>
      </c>
      <c r="E157" s="213">
        <v>0</v>
      </c>
      <c r="F157" s="213">
        <v>69837</v>
      </c>
    </row>
    <row r="158" spans="1:6" ht="15.95" customHeight="1">
      <c r="A158" s="211" t="s">
        <v>309</v>
      </c>
      <c r="B158" s="211" t="s">
        <v>309</v>
      </c>
      <c r="C158" s="211" t="s">
        <v>337</v>
      </c>
      <c r="D158" s="212" t="s">
        <v>211</v>
      </c>
      <c r="E158" s="213">
        <v>0</v>
      </c>
      <c r="F158" s="213">
        <v>2455</v>
      </c>
    </row>
    <row r="159" spans="1:6" ht="39.950000000000003" customHeight="1">
      <c r="A159" s="208" t="s">
        <v>309</v>
      </c>
      <c r="B159" s="208" t="s">
        <v>265</v>
      </c>
      <c r="C159" s="208" t="s">
        <v>309</v>
      </c>
      <c r="D159" s="209" t="s">
        <v>255</v>
      </c>
      <c r="E159" s="210">
        <v>118717.5</v>
      </c>
      <c r="F159" s="210">
        <v>118717.5</v>
      </c>
    </row>
    <row r="160" spans="1:6" ht="46.5" customHeight="1">
      <c r="A160" s="211" t="s">
        <v>309</v>
      </c>
      <c r="B160" s="211" t="s">
        <v>309</v>
      </c>
      <c r="C160" s="211" t="s">
        <v>310</v>
      </c>
      <c r="D160" s="212" t="s">
        <v>186</v>
      </c>
      <c r="E160" s="213">
        <v>118717.5</v>
      </c>
      <c r="F160" s="213">
        <v>0</v>
      </c>
    </row>
    <row r="161" spans="1:6" ht="15.95" customHeight="1">
      <c r="A161" s="211" t="s">
        <v>309</v>
      </c>
      <c r="B161" s="211" t="s">
        <v>309</v>
      </c>
      <c r="C161" s="211" t="s">
        <v>364</v>
      </c>
      <c r="D161" s="212" t="s">
        <v>240</v>
      </c>
      <c r="E161" s="213">
        <v>0</v>
      </c>
      <c r="F161" s="213">
        <v>118717.5</v>
      </c>
    </row>
    <row r="162" spans="1:6" ht="15.95" customHeight="1">
      <c r="A162" s="205" t="s">
        <v>236</v>
      </c>
      <c r="B162" s="205" t="s">
        <v>309</v>
      </c>
      <c r="C162" s="205" t="s">
        <v>309</v>
      </c>
      <c r="D162" s="206" t="s">
        <v>36</v>
      </c>
      <c r="E162" s="207">
        <v>1006551</v>
      </c>
      <c r="F162" s="207">
        <v>1006551</v>
      </c>
    </row>
    <row r="163" spans="1:6" ht="39.950000000000003" customHeight="1">
      <c r="A163" s="208" t="s">
        <v>309</v>
      </c>
      <c r="B163" s="208" t="s">
        <v>237</v>
      </c>
      <c r="C163" s="208" t="s">
        <v>309</v>
      </c>
      <c r="D163" s="209" t="s">
        <v>238</v>
      </c>
      <c r="E163" s="210">
        <v>37510</v>
      </c>
      <c r="F163" s="210">
        <v>37510</v>
      </c>
    </row>
    <row r="164" spans="1:6" ht="50.25" customHeight="1">
      <c r="A164" s="211" t="s">
        <v>309</v>
      </c>
      <c r="B164" s="211" t="s">
        <v>309</v>
      </c>
      <c r="C164" s="211" t="s">
        <v>310</v>
      </c>
      <c r="D164" s="212" t="s">
        <v>186</v>
      </c>
      <c r="E164" s="213">
        <v>37510</v>
      </c>
      <c r="F164" s="213">
        <v>0</v>
      </c>
    </row>
    <row r="165" spans="1:6" ht="15.95" customHeight="1">
      <c r="A165" s="211" t="s">
        <v>309</v>
      </c>
      <c r="B165" s="211" t="s">
        <v>309</v>
      </c>
      <c r="C165" s="211" t="s">
        <v>364</v>
      </c>
      <c r="D165" s="212" t="s">
        <v>240</v>
      </c>
      <c r="E165" s="213">
        <v>0</v>
      </c>
      <c r="F165" s="213">
        <v>36300</v>
      </c>
    </row>
    <row r="166" spans="1:6" ht="15.95" customHeight="1">
      <c r="A166" s="211" t="s">
        <v>309</v>
      </c>
      <c r="B166" s="211" t="s">
        <v>309</v>
      </c>
      <c r="C166" s="211" t="s">
        <v>314</v>
      </c>
      <c r="D166" s="212" t="s">
        <v>190</v>
      </c>
      <c r="E166" s="213">
        <v>0</v>
      </c>
      <c r="F166" s="213">
        <v>1011</v>
      </c>
    </row>
    <row r="167" spans="1:6" ht="15.95" customHeight="1">
      <c r="A167" s="211" t="s">
        <v>309</v>
      </c>
      <c r="B167" s="211" t="s">
        <v>309</v>
      </c>
      <c r="C167" s="211" t="s">
        <v>315</v>
      </c>
      <c r="D167" s="212" t="s">
        <v>191</v>
      </c>
      <c r="E167" s="213">
        <v>0</v>
      </c>
      <c r="F167" s="213">
        <v>174</v>
      </c>
    </row>
    <row r="168" spans="1:6" ht="15.95" customHeight="1">
      <c r="A168" s="211" t="s">
        <v>309</v>
      </c>
      <c r="B168" s="211" t="s">
        <v>309</v>
      </c>
      <c r="C168" s="211" t="s">
        <v>316</v>
      </c>
      <c r="D168" s="212" t="s">
        <v>412</v>
      </c>
      <c r="E168" s="213">
        <v>0</v>
      </c>
      <c r="F168" s="213">
        <v>25</v>
      </c>
    </row>
    <row r="169" spans="1:6" ht="65.099999999999994" customHeight="1">
      <c r="A169" s="208" t="s">
        <v>309</v>
      </c>
      <c r="B169" s="208" t="s">
        <v>239</v>
      </c>
      <c r="C169" s="208" t="s">
        <v>309</v>
      </c>
      <c r="D169" s="209" t="s">
        <v>3</v>
      </c>
      <c r="E169" s="210">
        <v>469287</v>
      </c>
      <c r="F169" s="210">
        <v>469287</v>
      </c>
    </row>
    <row r="170" spans="1:6" ht="70.5" customHeight="1">
      <c r="A170" s="211" t="s">
        <v>309</v>
      </c>
      <c r="B170" s="211" t="s">
        <v>309</v>
      </c>
      <c r="C170" s="211" t="s">
        <v>365</v>
      </c>
      <c r="D170" s="212" t="s">
        <v>366</v>
      </c>
      <c r="E170" s="213">
        <v>469287</v>
      </c>
      <c r="F170" s="213">
        <v>0</v>
      </c>
    </row>
    <row r="171" spans="1:6" ht="15.95" customHeight="1">
      <c r="A171" s="211" t="s">
        <v>309</v>
      </c>
      <c r="B171" s="211" t="s">
        <v>309</v>
      </c>
      <c r="C171" s="211" t="s">
        <v>364</v>
      </c>
      <c r="D171" s="212" t="s">
        <v>240</v>
      </c>
      <c r="E171" s="213">
        <v>0</v>
      </c>
      <c r="F171" s="213">
        <v>464640</v>
      </c>
    </row>
    <row r="172" spans="1:6" ht="15.95" customHeight="1">
      <c r="A172" s="211" t="s">
        <v>309</v>
      </c>
      <c r="B172" s="211" t="s">
        <v>309</v>
      </c>
      <c r="C172" s="211" t="s">
        <v>314</v>
      </c>
      <c r="D172" s="212" t="s">
        <v>190</v>
      </c>
      <c r="E172" s="213">
        <v>0</v>
      </c>
      <c r="F172" s="213">
        <v>4647</v>
      </c>
    </row>
    <row r="173" spans="1:6" ht="39.950000000000003" customHeight="1">
      <c r="A173" s="208" t="s">
        <v>309</v>
      </c>
      <c r="B173" s="208" t="s">
        <v>241</v>
      </c>
      <c r="C173" s="208" t="s">
        <v>309</v>
      </c>
      <c r="D173" s="209" t="s">
        <v>37</v>
      </c>
      <c r="E173" s="210">
        <v>499754</v>
      </c>
      <c r="F173" s="210">
        <v>499754</v>
      </c>
    </row>
    <row r="174" spans="1:6" ht="43.5" customHeight="1">
      <c r="A174" s="211" t="s">
        <v>309</v>
      </c>
      <c r="B174" s="211" t="s">
        <v>309</v>
      </c>
      <c r="C174" s="211" t="s">
        <v>310</v>
      </c>
      <c r="D174" s="212" t="s">
        <v>186</v>
      </c>
      <c r="E174" s="213">
        <v>65487</v>
      </c>
      <c r="F174" s="213">
        <v>0</v>
      </c>
    </row>
    <row r="175" spans="1:6" ht="68.25" customHeight="1">
      <c r="A175" s="211" t="s">
        <v>309</v>
      </c>
      <c r="B175" s="211" t="s">
        <v>309</v>
      </c>
      <c r="C175" s="211" t="s">
        <v>365</v>
      </c>
      <c r="D175" s="212" t="s">
        <v>366</v>
      </c>
      <c r="E175" s="213">
        <v>434267</v>
      </c>
      <c r="F175" s="213">
        <v>0</v>
      </c>
    </row>
    <row r="176" spans="1:6" ht="15.95" customHeight="1">
      <c r="A176" s="211" t="s">
        <v>309</v>
      </c>
      <c r="B176" s="211" t="s">
        <v>309</v>
      </c>
      <c r="C176" s="211" t="s">
        <v>364</v>
      </c>
      <c r="D176" s="212" t="s">
        <v>240</v>
      </c>
      <c r="E176" s="213">
        <v>0</v>
      </c>
      <c r="F176" s="213">
        <v>438295</v>
      </c>
    </row>
    <row r="177" spans="1:6" ht="15.95" customHeight="1">
      <c r="A177" s="211" t="s">
        <v>309</v>
      </c>
      <c r="B177" s="211" t="s">
        <v>309</v>
      </c>
      <c r="C177" s="211" t="s">
        <v>314</v>
      </c>
      <c r="D177" s="212" t="s">
        <v>190</v>
      </c>
      <c r="E177" s="213">
        <v>0</v>
      </c>
      <c r="F177" s="213">
        <v>52064</v>
      </c>
    </row>
    <row r="178" spans="1:6" ht="15.95" customHeight="1">
      <c r="A178" s="211" t="s">
        <v>309</v>
      </c>
      <c r="B178" s="211" t="s">
        <v>309</v>
      </c>
      <c r="C178" s="211" t="s">
        <v>315</v>
      </c>
      <c r="D178" s="212" t="s">
        <v>191</v>
      </c>
      <c r="E178" s="213">
        <v>0</v>
      </c>
      <c r="F178" s="213">
        <v>8225</v>
      </c>
    </row>
    <row r="179" spans="1:6" ht="15.95" customHeight="1">
      <c r="A179" s="211" t="s">
        <v>309</v>
      </c>
      <c r="B179" s="211" t="s">
        <v>309</v>
      </c>
      <c r="C179" s="211" t="s">
        <v>316</v>
      </c>
      <c r="D179" s="212" t="s">
        <v>412</v>
      </c>
      <c r="E179" s="213">
        <v>0</v>
      </c>
      <c r="F179" s="213">
        <v>1170</v>
      </c>
    </row>
    <row r="180" spans="1:6" ht="18" customHeight="1">
      <c r="A180" s="242" t="s">
        <v>367</v>
      </c>
      <c r="B180" s="242"/>
      <c r="C180" s="242"/>
      <c r="D180" s="242"/>
      <c r="E180" s="214">
        <v>14806480.35</v>
      </c>
      <c r="F180" s="214">
        <v>14806480.35</v>
      </c>
    </row>
    <row r="212" ht="39.950000000000003" customHeight="1"/>
  </sheetData>
  <autoFilter ref="C2:C212"/>
  <mergeCells count="2">
    <mergeCell ref="A2:F2"/>
    <mergeCell ref="A180:D180"/>
  </mergeCells>
  <pageMargins left="0.39370078740157483" right="0.39370078740157483" top="1.3779527559055118" bottom="0.98425196850393704" header="0.59055118110236227" footer="0.59055118110236227"/>
  <pageSetup paperSize="9" orientation="portrait" horizontalDpi="4294967295" verticalDpi="300" r:id="rId1"/>
  <headerFooter differentOddEven="1" differentFirst="1" alignWithMargins="0">
    <oddFooter>&amp;C&amp;P</oddFooter>
    <evenFooter>&amp;C&amp;P</evenFooter>
    <firstHeader>&amp;R&amp;9Tabela Nr 5
do uchwały Nr ................
Rady Powiatu  Otwockiego
z dnia .....................</firstHeader>
    <firstFooter>&amp;C&amp;P</firstFooter>
  </headerFooter>
  <rowBreaks count="1" manualBreakCount="1"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Tab.2a</vt:lpstr>
      <vt:lpstr>Tab.3</vt:lpstr>
      <vt:lpstr>Tab.5</vt:lpstr>
      <vt:lpstr>Tab.2a!Obszar_wydruku</vt:lpstr>
      <vt:lpstr>Tab.3!Obszar_wydruku</vt:lpstr>
      <vt:lpstr>Tab.5!Obszar_wydruku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Biuro Rady</cp:lastModifiedBy>
  <cp:lastPrinted>2020-12-22T11:00:41Z</cp:lastPrinted>
  <dcterms:created xsi:type="dcterms:W3CDTF">2015-10-09T11:05:37Z</dcterms:created>
  <dcterms:modified xsi:type="dcterms:W3CDTF">2020-12-23T13:10:28Z</dcterms:modified>
</cp:coreProperties>
</file>