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240" yWindow="105" windowWidth="14805" windowHeight="8010"/>
  </bookViews>
  <sheets>
    <sheet name="Zał.1" sheetId="43" r:id="rId1"/>
    <sheet name="Zał.2" sheetId="3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Zał.1!$A$1:$T$110</definedName>
    <definedName name="_xlnm.Print_Area" localSheetId="1">Zał.2!$A$1:$P$88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0">Zał.1!$A:$B,Zał.1!$2:$3</definedName>
    <definedName name="_xlnm.Print_Titles" localSheetId="1">Zał.2!$4:$5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G2" i="43" l="1"/>
  <c r="T110" i="43" l="1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T109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T108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D108" i="43"/>
  <c r="C108" i="43"/>
  <c r="T106" i="43"/>
  <c r="S106" i="43"/>
  <c r="R106" i="43"/>
  <c r="Q106" i="43"/>
  <c r="P106" i="43"/>
  <c r="O106" i="43"/>
  <c r="N106" i="43"/>
  <c r="M106" i="43"/>
  <c r="L106" i="43"/>
  <c r="K106" i="43"/>
  <c r="J106" i="43"/>
  <c r="I106" i="43"/>
  <c r="H106" i="43"/>
  <c r="G106" i="43"/>
  <c r="F106" i="43"/>
  <c r="E106" i="43"/>
  <c r="D106" i="43"/>
  <c r="C106" i="43"/>
  <c r="T105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D105" i="43"/>
  <c r="C105" i="43"/>
  <c r="T104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D104" i="43"/>
  <c r="C104" i="43"/>
  <c r="T102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D102" i="43"/>
  <c r="C102" i="43"/>
  <c r="T101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D101" i="43"/>
  <c r="C101" i="43"/>
  <c r="T100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D100" i="43"/>
  <c r="C100" i="43"/>
  <c r="T99" i="43"/>
  <c r="S99" i="43"/>
  <c r="R99" i="43"/>
  <c r="Q99" i="43"/>
  <c r="P99" i="43"/>
  <c r="O99" i="43"/>
  <c r="N99" i="43"/>
  <c r="M99" i="43"/>
  <c r="L99" i="43"/>
  <c r="K99" i="43"/>
  <c r="J99" i="43"/>
  <c r="I99" i="43"/>
  <c r="H99" i="43"/>
  <c r="G99" i="43"/>
  <c r="F99" i="43"/>
  <c r="E99" i="43"/>
  <c r="D99" i="43"/>
  <c r="C99" i="43"/>
  <c r="T98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D98" i="43"/>
  <c r="C98" i="43"/>
  <c r="T97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D97" i="43"/>
  <c r="C97" i="43"/>
  <c r="T96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C96" i="43"/>
  <c r="T95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D95" i="43"/>
  <c r="C95" i="43"/>
  <c r="T94" i="43"/>
  <c r="S94" i="43"/>
  <c r="R94" i="43"/>
  <c r="Q94" i="43"/>
  <c r="P94" i="43"/>
  <c r="O94" i="43"/>
  <c r="N94" i="43"/>
  <c r="M94" i="43"/>
  <c r="L94" i="43"/>
  <c r="K94" i="43"/>
  <c r="J94" i="43"/>
  <c r="I94" i="43"/>
  <c r="H94" i="43"/>
  <c r="G94" i="43"/>
  <c r="F94" i="43"/>
  <c r="E94" i="43"/>
  <c r="D94" i="43"/>
  <c r="C94" i="43"/>
  <c r="T93" i="43"/>
  <c r="S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D93" i="43"/>
  <c r="C93" i="43"/>
  <c r="T92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D92" i="43"/>
  <c r="C92" i="43"/>
  <c r="T91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D91" i="43"/>
  <c r="C91" i="43"/>
  <c r="T90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T89" i="43"/>
  <c r="S89" i="43"/>
  <c r="R89" i="43"/>
  <c r="Q89" i="43"/>
  <c r="P89" i="43"/>
  <c r="O89" i="43"/>
  <c r="N89" i="43"/>
  <c r="M89" i="43"/>
  <c r="L89" i="43"/>
  <c r="K89" i="43"/>
  <c r="J89" i="43"/>
  <c r="I89" i="43"/>
  <c r="H89" i="43"/>
  <c r="G89" i="43"/>
  <c r="F89" i="43"/>
  <c r="E89" i="43"/>
  <c r="D89" i="43"/>
  <c r="C89" i="43"/>
  <c r="T88" i="43"/>
  <c r="S88" i="43"/>
  <c r="R88" i="43"/>
  <c r="Q88" i="43"/>
  <c r="P88" i="43"/>
  <c r="O88" i="43"/>
  <c r="N88" i="43"/>
  <c r="M88" i="43"/>
  <c r="L88" i="43"/>
  <c r="K88" i="43"/>
  <c r="J88" i="43"/>
  <c r="I88" i="43"/>
  <c r="H88" i="43"/>
  <c r="G88" i="43"/>
  <c r="F88" i="43"/>
  <c r="E88" i="43"/>
  <c r="D88" i="43"/>
  <c r="C88" i="43"/>
  <c r="T87" i="43"/>
  <c r="S87" i="43"/>
  <c r="R87" i="43"/>
  <c r="Q87" i="43"/>
  <c r="P87" i="43"/>
  <c r="O87" i="43"/>
  <c r="N87" i="43"/>
  <c r="M87" i="43"/>
  <c r="L87" i="43"/>
  <c r="K87" i="43"/>
  <c r="J87" i="43"/>
  <c r="I87" i="43"/>
  <c r="H87" i="43"/>
  <c r="G87" i="43"/>
  <c r="F87" i="43"/>
  <c r="E87" i="43"/>
  <c r="D87" i="43"/>
  <c r="C87" i="43"/>
  <c r="T86" i="43"/>
  <c r="S86" i="43"/>
  <c r="R86" i="43"/>
  <c r="Q86" i="43"/>
  <c r="P86" i="43"/>
  <c r="O86" i="43"/>
  <c r="N86" i="43"/>
  <c r="M86" i="43"/>
  <c r="L86" i="43"/>
  <c r="K86" i="43"/>
  <c r="J86" i="43"/>
  <c r="I86" i="43"/>
  <c r="H86" i="43"/>
  <c r="G86" i="43"/>
  <c r="F86" i="43"/>
  <c r="E86" i="43"/>
  <c r="D86" i="43"/>
  <c r="C86" i="43"/>
  <c r="T85" i="43"/>
  <c r="S85" i="43"/>
  <c r="R85" i="43"/>
  <c r="Q85" i="43"/>
  <c r="P85" i="43"/>
  <c r="O85" i="43"/>
  <c r="N85" i="43"/>
  <c r="M85" i="43"/>
  <c r="L85" i="43"/>
  <c r="K85" i="43"/>
  <c r="J85" i="43"/>
  <c r="I85" i="43"/>
  <c r="H85" i="43"/>
  <c r="G85" i="43"/>
  <c r="F85" i="43"/>
  <c r="E85" i="43"/>
  <c r="D85" i="43"/>
  <c r="C85" i="43"/>
  <c r="T83" i="43"/>
  <c r="S83" i="43"/>
  <c r="R83" i="43"/>
  <c r="Q83" i="43"/>
  <c r="P83" i="43"/>
  <c r="O83" i="43"/>
  <c r="N83" i="43"/>
  <c r="M83" i="43"/>
  <c r="L83" i="43"/>
  <c r="K83" i="43"/>
  <c r="J83" i="43"/>
  <c r="I83" i="43"/>
  <c r="H83" i="43"/>
  <c r="G83" i="43"/>
  <c r="F83" i="43"/>
  <c r="E83" i="43"/>
  <c r="D83" i="43"/>
  <c r="C83" i="43"/>
  <c r="T82" i="43"/>
  <c r="S82" i="43"/>
  <c r="R82" i="43"/>
  <c r="Q82" i="43"/>
  <c r="P82" i="43"/>
  <c r="O82" i="43"/>
  <c r="N82" i="43"/>
  <c r="M82" i="43"/>
  <c r="L82" i="43"/>
  <c r="K82" i="43"/>
  <c r="J82" i="43"/>
  <c r="I82" i="43"/>
  <c r="H82" i="43"/>
  <c r="G82" i="43"/>
  <c r="F82" i="43"/>
  <c r="E82" i="43"/>
  <c r="D82" i="43"/>
  <c r="C82" i="43"/>
  <c r="T81" i="43"/>
  <c r="S81" i="43"/>
  <c r="R81" i="43"/>
  <c r="Q81" i="43"/>
  <c r="P81" i="43"/>
  <c r="O81" i="43"/>
  <c r="N81" i="43"/>
  <c r="M81" i="43"/>
  <c r="L81" i="43"/>
  <c r="K81" i="43"/>
  <c r="J81" i="43"/>
  <c r="I81" i="43"/>
  <c r="H81" i="43"/>
  <c r="G81" i="43"/>
  <c r="F81" i="43"/>
  <c r="E81" i="43"/>
  <c r="D81" i="43"/>
  <c r="C81" i="43"/>
  <c r="T8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T79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T78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T77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T76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T74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T73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T72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T68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T67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T64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T63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T62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C62" i="43"/>
  <c r="T61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T60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T59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T58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T55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C55" i="43"/>
  <c r="T54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T52" i="43"/>
  <c r="S52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D52" i="43"/>
  <c r="C52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T50" i="43"/>
  <c r="S50" i="43"/>
  <c r="R50" i="43"/>
  <c r="Q50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D50" i="43"/>
  <c r="C50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T46" i="43"/>
  <c r="S46" i="43"/>
  <c r="R46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C46" i="43"/>
  <c r="T45" i="43"/>
  <c r="S45" i="43"/>
  <c r="R45" i="43"/>
  <c r="Q45" i="43"/>
  <c r="P45" i="43"/>
  <c r="O45" i="43"/>
  <c r="N45" i="43"/>
  <c r="M45" i="43"/>
  <c r="L45" i="43"/>
  <c r="K45" i="43"/>
  <c r="J45" i="43"/>
  <c r="I45" i="43"/>
  <c r="H45" i="43"/>
  <c r="G45" i="43"/>
  <c r="F45" i="43"/>
  <c r="E45" i="43"/>
  <c r="D45" i="43"/>
  <c r="C45" i="43"/>
  <c r="T44" i="43"/>
  <c r="S44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C44" i="43"/>
  <c r="T43" i="43"/>
  <c r="S43" i="43"/>
  <c r="R43" i="43"/>
  <c r="Q43" i="43"/>
  <c r="P43" i="43"/>
  <c r="O43" i="43"/>
  <c r="N43" i="43"/>
  <c r="M43" i="43"/>
  <c r="L43" i="43"/>
  <c r="K43" i="43"/>
  <c r="J43" i="43"/>
  <c r="I43" i="43"/>
  <c r="H43" i="43"/>
  <c r="G43" i="43"/>
  <c r="F43" i="43"/>
  <c r="E43" i="43"/>
  <c r="D43" i="43"/>
  <c r="C43" i="43"/>
  <c r="T42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G42" i="43"/>
  <c r="F42" i="43"/>
  <c r="E42" i="43"/>
  <c r="D42" i="43"/>
  <c r="C42" i="43"/>
  <c r="T41" i="43"/>
  <c r="S41" i="43"/>
  <c r="R41" i="43"/>
  <c r="Q41" i="43"/>
  <c r="P41" i="43"/>
  <c r="O41" i="43"/>
  <c r="N41" i="43"/>
  <c r="M41" i="43"/>
  <c r="L41" i="43"/>
  <c r="K41" i="43"/>
  <c r="J41" i="43"/>
  <c r="I41" i="43"/>
  <c r="H41" i="43"/>
  <c r="G41" i="43"/>
  <c r="F41" i="43"/>
  <c r="E41" i="43"/>
  <c r="D41" i="43"/>
  <c r="C41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C38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T34" i="43"/>
  <c r="S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C34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9" i="43"/>
  <c r="C29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H21" i="43"/>
  <c r="G21" i="43"/>
  <c r="F21" i="43"/>
  <c r="E21" i="43"/>
  <c r="D21" i="43"/>
  <c r="C21" i="43"/>
  <c r="T2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T16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T15" i="43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T14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C13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T9" i="43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C8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T6" i="43"/>
  <c r="S6" i="43"/>
  <c r="R6" i="43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T5" i="43"/>
  <c r="S5" i="43"/>
  <c r="R5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C5" i="43"/>
  <c r="T4" i="43"/>
  <c r="S4" i="43"/>
  <c r="R4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G3" i="43"/>
  <c r="H3" i="43" s="1"/>
  <c r="I3" i="43" s="1"/>
  <c r="J3" i="43" s="1"/>
  <c r="K3" i="43" s="1"/>
  <c r="L3" i="43" s="1"/>
  <c r="M3" i="43" s="1"/>
  <c r="N3" i="43" s="1"/>
  <c r="O3" i="43" s="1"/>
  <c r="P3" i="43" s="1"/>
  <c r="Q3" i="43" s="1"/>
  <c r="R3" i="43" s="1"/>
  <c r="S3" i="43" s="1"/>
  <c r="T3" i="43" s="1"/>
  <c r="H66" i="43" l="1"/>
  <c r="L66" i="43"/>
  <c r="P66" i="43"/>
  <c r="T66" i="43"/>
  <c r="Q66" i="43"/>
  <c r="I66" i="43"/>
  <c r="M66" i="43"/>
  <c r="J66" i="43"/>
  <c r="N66" i="43"/>
  <c r="R66" i="43"/>
  <c r="G66" i="43"/>
  <c r="K66" i="43"/>
  <c r="O66" i="43"/>
  <c r="S66" i="43"/>
  <c r="J70" i="43"/>
  <c r="N70" i="43"/>
  <c r="R70" i="43"/>
  <c r="H70" i="43"/>
  <c r="L70" i="43"/>
  <c r="P70" i="43"/>
  <c r="T70" i="43"/>
  <c r="I70" i="43"/>
  <c r="M70" i="43"/>
  <c r="Q70" i="43"/>
  <c r="F3" i="43"/>
  <c r="E3" i="43" s="1"/>
  <c r="D3" i="43" s="1"/>
  <c r="C3" i="43" s="1"/>
  <c r="S65" i="43"/>
  <c r="G65" i="43"/>
  <c r="G70" i="43"/>
  <c r="K70" i="43"/>
  <c r="O70" i="43"/>
  <c r="S70" i="43"/>
  <c r="K65" i="43"/>
  <c r="O65" i="43"/>
  <c r="J65" i="43"/>
  <c r="N65" i="43"/>
  <c r="R65" i="43"/>
  <c r="J69" i="43"/>
  <c r="N69" i="43"/>
  <c r="R69" i="43"/>
  <c r="G69" i="43"/>
  <c r="K69" i="43"/>
  <c r="O69" i="43"/>
  <c r="S69" i="43"/>
  <c r="H65" i="43"/>
  <c r="L65" i="43"/>
  <c r="P65" i="43"/>
  <c r="T65" i="43"/>
  <c r="H69" i="43"/>
  <c r="L69" i="43"/>
  <c r="P69" i="43"/>
  <c r="T69" i="43"/>
  <c r="I65" i="43"/>
  <c r="M65" i="43"/>
  <c r="Q65" i="43"/>
  <c r="I69" i="43"/>
  <c r="M69" i="43"/>
  <c r="Q69" i="43"/>
  <c r="G11" i="33" l="1"/>
  <c r="H11" i="33"/>
  <c r="I11" i="33"/>
  <c r="J11" i="33"/>
  <c r="K11" i="33"/>
  <c r="L11" i="33"/>
  <c r="M11" i="33"/>
  <c r="N11" i="33"/>
  <c r="O11" i="33"/>
  <c r="P11" i="33"/>
  <c r="F11" i="33"/>
  <c r="P21" i="33"/>
  <c r="F18" i="33" l="1"/>
  <c r="G18" i="33"/>
  <c r="F50" i="33"/>
  <c r="F33" i="33" l="1"/>
  <c r="P88" i="33" l="1"/>
  <c r="K33" i="33"/>
  <c r="L33" i="33"/>
  <c r="M33" i="33"/>
  <c r="N33" i="33"/>
  <c r="O33" i="33"/>
  <c r="J33" i="33"/>
  <c r="I33" i="33"/>
  <c r="G33" i="33"/>
  <c r="H33" i="33"/>
  <c r="F68" i="33" l="1"/>
  <c r="H68" i="33"/>
  <c r="G68" i="33"/>
  <c r="H36" i="33" l="1"/>
  <c r="G36" i="33"/>
  <c r="F23" i="33" l="1"/>
  <c r="H23" i="33"/>
  <c r="G23" i="33"/>
  <c r="F87" i="33" l="1"/>
  <c r="P87" i="33"/>
  <c r="F67" i="33" l="1"/>
  <c r="G67" i="33"/>
  <c r="P86" i="33" l="1"/>
  <c r="P85" i="33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G66" i="33"/>
  <c r="P66" i="33" s="1"/>
  <c r="G65" i="33"/>
  <c r="P65" i="33" s="1"/>
  <c r="F65" i="33"/>
  <c r="P64" i="33"/>
  <c r="F64" i="33"/>
  <c r="G63" i="33"/>
  <c r="P63" i="33" s="1"/>
  <c r="F63" i="33"/>
  <c r="P62" i="33"/>
  <c r="P61" i="33"/>
  <c r="P60" i="33"/>
  <c r="P59" i="33"/>
  <c r="P58" i="33"/>
  <c r="P57" i="33"/>
  <c r="F57" i="33"/>
  <c r="P56" i="33"/>
  <c r="P55" i="33"/>
  <c r="G54" i="33"/>
  <c r="P54" i="33" s="1"/>
  <c r="F54" i="33"/>
  <c r="P53" i="33"/>
  <c r="F53" i="33"/>
  <c r="P52" i="33"/>
  <c r="F52" i="33"/>
  <c r="P51" i="33"/>
  <c r="P50" i="33"/>
  <c r="P33" i="33" s="1"/>
  <c r="P49" i="33"/>
  <c r="P48" i="33"/>
  <c r="P47" i="33"/>
  <c r="G46" i="33"/>
  <c r="P46" i="33" s="1"/>
  <c r="H45" i="33"/>
  <c r="P44" i="33"/>
  <c r="P43" i="33"/>
  <c r="F43" i="33"/>
  <c r="P42" i="33"/>
  <c r="P41" i="33"/>
  <c r="P40" i="33"/>
  <c r="P39" i="33"/>
  <c r="F39" i="33"/>
  <c r="G38" i="33"/>
  <c r="P38" i="33" s="1"/>
  <c r="F38" i="33"/>
  <c r="P37" i="33"/>
  <c r="F37" i="33"/>
  <c r="I36" i="33"/>
  <c r="P35" i="33"/>
  <c r="P34" i="33"/>
  <c r="F34" i="33"/>
  <c r="P32" i="33"/>
  <c r="P31" i="33"/>
  <c r="H31" i="33"/>
  <c r="P30" i="33"/>
  <c r="I29" i="33"/>
  <c r="I28" i="33" s="1"/>
  <c r="H29" i="33"/>
  <c r="H28" i="33" s="1"/>
  <c r="G29" i="33"/>
  <c r="F29" i="33"/>
  <c r="F28" i="33" s="1"/>
  <c r="O28" i="33"/>
  <c r="O27" i="33" s="1"/>
  <c r="N28" i="33"/>
  <c r="M28" i="33"/>
  <c r="L28" i="33"/>
  <c r="K28" i="33"/>
  <c r="J28" i="33"/>
  <c r="M27" i="33"/>
  <c r="P24" i="33"/>
  <c r="O24" i="33"/>
  <c r="N24" i="33"/>
  <c r="M24" i="33"/>
  <c r="L24" i="33"/>
  <c r="K24" i="33"/>
  <c r="J24" i="33"/>
  <c r="I24" i="33"/>
  <c r="H24" i="33"/>
  <c r="G24" i="33"/>
  <c r="F24" i="33"/>
  <c r="H22" i="33"/>
  <c r="G22" i="33"/>
  <c r="F22" i="33"/>
  <c r="O22" i="33"/>
  <c r="N22" i="33"/>
  <c r="M22" i="33"/>
  <c r="L22" i="33"/>
  <c r="K22" i="33"/>
  <c r="J22" i="33"/>
  <c r="I22" i="33"/>
  <c r="G20" i="33"/>
  <c r="P20" i="33" s="1"/>
  <c r="F20" i="33"/>
  <c r="P19" i="33"/>
  <c r="P18" i="33"/>
  <c r="P17" i="33"/>
  <c r="P16" i="33"/>
  <c r="P15" i="33"/>
  <c r="G14" i="33"/>
  <c r="P14" i="33" s="1"/>
  <c r="G13" i="33"/>
  <c r="G12" i="33"/>
  <c r="P12" i="33" s="1"/>
  <c r="O8" i="33"/>
  <c r="N10" i="33"/>
  <c r="M8" i="33"/>
  <c r="L10" i="33"/>
  <c r="K8" i="33"/>
  <c r="J10" i="33"/>
  <c r="I10" i="33"/>
  <c r="H10" i="33"/>
  <c r="G10" i="33" l="1"/>
  <c r="L27" i="33"/>
  <c r="N9" i="33"/>
  <c r="F9" i="33"/>
  <c r="M10" i="33"/>
  <c r="P13" i="33"/>
  <c r="L9" i="33"/>
  <c r="P36" i="33"/>
  <c r="H27" i="33"/>
  <c r="H7" i="33" s="1"/>
  <c r="N27" i="33"/>
  <c r="N7" i="33" s="1"/>
  <c r="L7" i="33"/>
  <c r="J9" i="33"/>
  <c r="K27" i="33"/>
  <c r="J27" i="33"/>
  <c r="J7" i="33" s="1"/>
  <c r="K10" i="33"/>
  <c r="K7" i="33" s="1"/>
  <c r="O10" i="33"/>
  <c r="O7" i="33" s="1"/>
  <c r="M7" i="33"/>
  <c r="I9" i="33"/>
  <c r="M9" i="33"/>
  <c r="P23" i="33"/>
  <c r="P22" i="33" s="1"/>
  <c r="P45" i="33"/>
  <c r="H9" i="33"/>
  <c r="P29" i="33"/>
  <c r="P28" i="33" s="1"/>
  <c r="I27" i="33"/>
  <c r="I7" i="33" s="1"/>
  <c r="I8" i="33"/>
  <c r="F10" i="33"/>
  <c r="F8" i="33"/>
  <c r="J8" i="33"/>
  <c r="N8" i="33"/>
  <c r="K9" i="33"/>
  <c r="O9" i="33"/>
  <c r="G28" i="33"/>
  <c r="G9" i="33"/>
  <c r="H8" i="33"/>
  <c r="L8" i="33"/>
  <c r="F27" i="33" l="1"/>
  <c r="P27" i="33"/>
  <c r="F7" i="33"/>
  <c r="P8" i="33"/>
  <c r="P10" i="33"/>
  <c r="P9" i="33"/>
  <c r="G27" i="33"/>
  <c r="G7" i="33" s="1"/>
  <c r="G8" i="33"/>
  <c r="P7" i="33" l="1"/>
</calcChain>
</file>

<file path=xl/sharedStrings.xml><?xml version="1.0" encoding="utf-8"?>
<sst xmlns="http://schemas.openxmlformats.org/spreadsheetml/2006/main" count="613" uniqueCount="376">
  <si>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</si>
  <si>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</si>
  <si>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</si>
  <si>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</si>
  <si>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</si>
  <si>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</si>
  <si>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</si>
  <si>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</si>
  <si>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</si>
  <si>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</si>
  <si>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</si>
  <si>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</si>
  <si>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</si>
  <si>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</si>
  <si>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</si>
  <si>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</si>
  <si>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</si>
  <si>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</si>
  <si>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</si>
  <si>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</si>
  <si>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</si>
  <si>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</si>
  <si>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</si>
  <si>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</si>
  <si>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</si>
  <si>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</si>
  <si>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</si>
  <si>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</si>
  <si>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</si>
  <si>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</si>
  <si>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</si>
  <si>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</si>
  <si>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</si>
  <si>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</si>
  <si>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</si>
  <si>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</si>
  <si>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</si>
  <si>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</si>
  <si>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</si>
  <si>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</si>
  <si>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</si>
  <si>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</si>
  <si>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</si>
  <si>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</si>
  <si>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</si>
  <si>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</si>
  <si>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</si>
  <si>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</si>
  <si>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</si>
  <si>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</si>
  <si>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</si>
  <si>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</si>
  <si>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</si>
  <si>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</si>
  <si>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</si>
  <si>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</si>
  <si>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</si>
  <si>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</si>
  <si>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</si>
  <si>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</si>
  <si>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</si>
  <si>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</si>
  <si>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</si>
  <si>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</si>
  <si>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</si>
  <si>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</si>
  <si>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</si>
  <si>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</si>
  <si>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</si>
  <si>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</si>
  <si>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</si>
  <si>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</si>
  <si>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</si>
  <si>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</si>
  <si>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</si>
  <si>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</si>
  <si>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</si>
  <si>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</si>
  <si>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</si>
  <si>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</si>
  <si>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</si>
  <si>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</si>
  <si>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</si>
  <si>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</si>
  <si>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</si>
  <si>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</si>
  <si>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</si>
  <si>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</si>
  <si>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</si>
  <si>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</si>
  <si>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</si>
  <si>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</si>
  <si>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</si>
  <si>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</si>
  <si>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</si>
  <si>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</si>
  <si>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</si>
  <si>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</si>
  <si>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</si>
  <si>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</si>
  <si>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</si>
  <si>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</si>
  <si>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</si>
  <si>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</si>
  <si>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</si>
  <si>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</si>
  <si>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</si>
  <si>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</si>
  <si>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</si>
  <si>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</si>
  <si>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</si>
  <si>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</si>
  <si>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</si>
  <si>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</si>
  <si>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</si>
  <si>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1.3.2.40</t>
  </si>
  <si>
    <t>Aktywna integracja w powiecie otwockim</t>
  </si>
  <si>
    <t>Rozbudowa skrzyżowania dróg powiatowych Nr 2754W –                              ul. Reymonta i Nr 2758W – ul. Samorządowej w Otwocku na skrzyżowanie typu rondo</t>
  </si>
  <si>
    <t>Rozbudowa na rondo skrzyżowania dróg powiatowych Nr 2775W ul. Stare Miasto  i  Nr 2724W ul. Żaboklickiego  z drogą gminną ul. Bielińskiego w Karczewie</t>
  </si>
  <si>
    <t>1.3.2.41</t>
  </si>
  <si>
    <t>Przebudowa dróg powiatowych nr 2762W i 2763W - ul. Kraszewskiego i Majowej w Otwocku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</si>
  <si>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</si>
  <si>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>1.3.2.42</t>
  </si>
  <si>
    <t>1.3.1.3</t>
  </si>
  <si>
    <t>Wypracowanie i pilotażowe wdrożenie modelu kompleksowej rehabilitacji umożliwiającej podjęcie lub powrót do pracy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</si>
  <si>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</si>
  <si>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</si>
  <si>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</si>
  <si>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</si>
  <si>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</si>
  <si>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</si>
  <si>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</si>
  <si>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</si>
  <si>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</si>
  <si>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</si>
  <si>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</si>
  <si>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</si>
  <si>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</si>
  <si>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</si>
  <si>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</si>
  <si>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</si>
  <si>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</si>
  <si>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</si>
  <si>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</si>
  <si>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</si>
  <si>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</si>
  <si>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</si>
  <si>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</si>
  <si>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</si>
  <si>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</si>
  <si>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2.1.2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</si>
  <si>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</si>
  <si>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</si>
  <si>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</si>
  <si>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</si>
  <si>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2.2</t>
  </si>
  <si>
    <t>Wynik budżetu</t>
  </si>
  <si>
    <t>Przychody budżetu</t>
  </si>
  <si>
    <t>4.1</t>
  </si>
  <si>
    <t>4.1.1</t>
  </si>
  <si>
    <t>4.2</t>
  </si>
  <si>
    <t>4.2.1</t>
  </si>
  <si>
    <t>4.3</t>
  </si>
  <si>
    <t>4.3.1</t>
  </si>
  <si>
    <t>4.4</t>
  </si>
  <si>
    <t>4.4.1</t>
  </si>
  <si>
    <t>Rozchody budżetu</t>
  </si>
  <si>
    <t>5.1</t>
  </si>
  <si>
    <t>5.1.1</t>
  </si>
  <si>
    <t>5.1.1.1</t>
  </si>
  <si>
    <t>5.1.1.2</t>
  </si>
  <si>
    <t>5.1.1.3</t>
  </si>
  <si>
    <t>5.2</t>
  </si>
  <si>
    <t>Relacja zrównoważenia wydatków bieżących, o której mowa w art. 242 ustawy</t>
  </si>
  <si>
    <t>x</t>
  </si>
  <si>
    <t>8.1</t>
  </si>
  <si>
    <t>8.2</t>
  </si>
  <si>
    <t>Wskaźnik spłaty zobowiązań</t>
  </si>
  <si>
    <t>9.1</t>
  </si>
  <si>
    <t>9.2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</si>
  <si>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</si>
  <si>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</si>
  <si>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</si>
  <si>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</si>
  <si>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</si>
  <si>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10.1</t>
  </si>
  <si>
    <t>11.1</t>
  </si>
  <si>
    <t>11.2</t>
  </si>
  <si>
    <t>bieżące</t>
  </si>
  <si>
    <t>majątkowe</t>
  </si>
  <si>
    <t>Finansowanie programów, projektów lub zadań realizowanych z udziałem środków, o których mowa w art. 5 ust. 1 pkt 2 i 3 ustawy</t>
  </si>
  <si>
    <t>12.1</t>
  </si>
  <si>
    <t>12.2</t>
  </si>
  <si>
    <t>12.3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</si>
  <si>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</si>
  <si>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</si>
  <si>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</si>
  <si>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wypłaty z tytułu wymagalnych poręczeń i gwarancji</t>
  </si>
  <si>
    <t>Mobilni w Europie</t>
  </si>
  <si>
    <t>Rozbudowa drogi powiatowej Nr 2713W w miejscowościach Stara Wieś, Dąbrówka i Celestynów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</si>
  <si>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</si>
  <si>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</si>
  <si>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</si>
  <si>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</si>
  <si>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</si>
  <si>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</si>
  <si>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</si>
  <si>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</si>
  <si>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>Rozbudowa dróg powiatowych Nr 2715W ul. Armii Krajowej i Nr 2759W ul. Narutowicza z droga gminną ul. Armii Krajowej w Otwocku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</si>
  <si>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</si>
  <si>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</si>
  <si>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</si>
  <si>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</si>
  <si>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 xml:space="preserve">Rozbudowa drogi powiatowej Nr 2712W Wola Karczewska – Kruszówiec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</si>
  <si>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</si>
  <si>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</si>
  <si>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</si>
  <si>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</si>
  <si>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</si>
  <si>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</si>
  <si>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</si>
  <si>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</si>
  <si>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</si>
  <si>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</si>
  <si>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</si>
  <si>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</si>
  <si>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</si>
  <si>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</si>
  <si>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</si>
  <si>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Budowa boiska wielofunkcyjnego w Specjalnym Ośrodku Szkolno-Wychowawczym Nr 1 im. Marii Konopnickiej w Otwocku</t>
  </si>
  <si>
    <t>Specjalny Ośrodek Szkolno-Wychowawczy Nr 1</t>
  </si>
  <si>
    <t>Dochody bieżące, z tego:</t>
  </si>
  <si>
    <t>pozostałe dochody bieżące, w tym:</t>
  </si>
  <si>
    <t>1.1.5.1</t>
  </si>
  <si>
    <t>Dochody majątkowe, w tym:</t>
  </si>
  <si>
    <t>na wynagrodzenia i składki od nich naliczane</t>
  </si>
  <si>
    <t>z tytułu poręczeń i gwarancji, w tym: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</si>
  <si>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</si>
  <si>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</si>
  <si>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</si>
  <si>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</si>
  <si>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</si>
  <si>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</si>
  <si>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</si>
  <si>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</si>
  <si>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</si>
  <si>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</si>
  <si>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</si>
  <si>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Kredyty, pożyczki, emisja papierów wartościowych, w tym:</t>
  </si>
  <si>
    <t>na pokrycie deficytu budżetu</t>
  </si>
  <si>
    <t>Nadwyżka budżetowa z lat ubiegłych, w tym:</t>
  </si>
  <si>
    <t>Wolne środki, o których mowa w art. 217 ust. 2 pkt 6 ustawy, w tym:</t>
  </si>
  <si>
    <t>Spłaty udzielonych pożyczek w latach ubiegłych, w tym:</t>
  </si>
  <si>
    <t>4.5</t>
  </si>
  <si>
    <t>Inne przychody niezwiązane z zaciągnięciem długu, w tym:</t>
  </si>
  <si>
    <t>4.5.1</t>
  </si>
  <si>
    <t>Spłaty rat kapitałowych kredytów i pożyczek oraz wykup papierów wartościowych,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</si>
  <si>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</si>
  <si>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</si>
  <si>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</si>
  <si>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</si>
  <si>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</si>
  <si>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</si>
  <si>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</si>
  <si>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</si>
  <si>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</si>
  <si>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</si>
  <si>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</si>
  <si>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</si>
  <si>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</si>
  <si>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</si>
  <si>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</si>
  <si>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7.1</t>
  </si>
  <si>
    <t>Różnica między dochodami bieżącymi a wydatkami bieżącymi</t>
  </si>
  <si>
    <t>7.2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</si>
  <si>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</si>
  <si>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</si>
  <si>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</si>
  <si>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</si>
  <si>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</si>
  <si>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</si>
  <si>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</si>
  <si>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</si>
  <si>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</si>
  <si>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</si>
  <si>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8.4.1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</si>
  <si>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</si>
  <si>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</si>
  <si>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</si>
  <si>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</si>
  <si>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</si>
  <si>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</si>
  <si>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</si>
  <si>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</si>
  <si>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</si>
  <si>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</si>
  <si>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</si>
  <si>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</si>
  <si>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</si>
  <si>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</si>
  <si>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</si>
  <si>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</si>
  <si>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</si>
  <si>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</si>
  <si>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</si>
  <si>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</si>
  <si>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</si>
  <si>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</si>
  <si>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</si>
  <si>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</si>
  <si>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</si>
  <si>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</si>
  <si>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</si>
  <si>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</si>
  <si>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</si>
  <si>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</si>
  <si>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</si>
  <si>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</si>
  <si>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</si>
  <si>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</si>
  <si>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</si>
  <si>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</si>
  <si>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</si>
  <si>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</si>
  <si>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</si>
  <si>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</si>
  <si>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</si>
  <si>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</si>
  <si>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</si>
  <si>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</si>
  <si>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</si>
  <si>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</si>
  <si>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</si>
  <si>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</si>
  <si>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</si>
  <si>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</si>
  <si>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</si>
  <si>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</si>
  <si>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1.1.1.9</t>
  </si>
  <si>
    <t>Bardziej aktywny dzięki sztuce współczesnej</t>
  </si>
  <si>
    <t>Specjalny                    Ośrodek Szkolno - Wychowawczy Nr 1</t>
  </si>
  <si>
    <t>Różnica między dochodami bieżącymi, skorygowanymi o środki a wydatkami bieżącymi</t>
  </si>
  <si>
    <t>Relacja określona po prawej stronie nierówności we wzorze, o którym mowa w art. 243 ust. 1 ustawy, ustalona dla danego roku (wskaźnik jednoroczny)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</si>
  <si>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</si>
  <si>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</si>
  <si>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</si>
  <si>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</si>
  <si>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</si>
  <si>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</si>
  <si>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</si>
  <si>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Budowa sygnalizacji świetlnej radarowej</t>
  </si>
  <si>
    <t>Przebudowa mostów przez rzekę Świder w ciągu drogi powiatowej Nr 2737W w miejsc. Sępochów</t>
  </si>
  <si>
    <t xml:space="preserve">Budowa Domu Pomocy Społecznej "Wrzos" </t>
  </si>
  <si>
    <t>Budowa parkingu na pojazdy usunięte z dróg zgodnie z art. 130a ust. 1, 2 i 5c ustawy Prawo o ruchu drogowym</t>
  </si>
  <si>
    <t>1.3.2.54</t>
  </si>
  <si>
    <t>2.1.3.3</t>
  </si>
  <si>
    <t xml:space="preserve">pozostałe odsetki i dyskonto podlegające wyłączeniu z limitu spłaty zobowiązań, o którym mowa w art. 243 ustawy </t>
  </si>
  <si>
    <t>5.1.1.4</t>
  </si>
  <si>
    <t>kwota przypadających na dany rok kwot pozostałych ustawowych wyłączeń z limitu spłaty zobowiązań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</si>
  <si>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</si>
  <si>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</si>
  <si>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</si>
  <si>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</si>
  <si>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</si>
  <si>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</si>
  <si>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</si>
  <si>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</si>
  <si>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</si>
  <si>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</si>
  <si>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</si>
  <si>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</si>
  <si>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1.3.2.55</t>
  </si>
  <si>
    <t>Przebudowa ul. Świderskiej w Karczewie polegająca na budowie chodnika na odcinku od ul. Wiślanej do ul. Kościelnej</t>
  </si>
  <si>
    <t>Rodzinne drogowskazy</t>
  </si>
  <si>
    <t>1.1.1.10</t>
  </si>
  <si>
    <t>Przebudowa drogi powiatowej Nr 2759W – ul. Poniatowskiego w Otwocku wraz  z wykonaniem odwodnienia na wysokości Zakładu Ubezpieczeń Społecznych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</si>
</sst>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9"/>
      <color indexed="8"/>
      <name val="Czcionka tekstu podstawowego"/>
      <charset val="238"/>
    </font>
    <font>
      <b/>
      <u/>
      <sz val="9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6">
    <xf numFmtId="0" fontId="0" fillId="0" borderId="0"/>
    <xf numFmtId="0" fontId="47" fillId="0" borderId="0"/>
    <xf numFmtId="0" fontId="47" fillId="0" borderId="0"/>
    <xf numFmtId="0" fontId="48" fillId="0" borderId="0"/>
    <xf numFmtId="0" fontId="49" fillId="0" borderId="0"/>
    <xf numFmtId="0" fontId="48" fillId="0" borderId="0"/>
    <xf numFmtId="9" fontId="49" fillId="0" borderId="0" applyFont="0" applyFill="0" applyBorder="0" applyAlignment="0" applyProtection="0"/>
    <xf numFmtId="0" fontId="46" fillId="0" borderId="0"/>
    <xf numFmtId="0" fontId="45" fillId="0" borderId="0"/>
    <xf numFmtId="0" fontId="44" fillId="0" borderId="0"/>
    <xf numFmtId="0" fontId="43" fillId="0" borderId="0"/>
    <xf numFmtId="0" fontId="50" fillId="0" borderId="0" applyNumberFormat="0" applyFill="0" applyBorder="0" applyAlignment="0" applyProtection="0">
      <alignment vertical="top"/>
    </xf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5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49" fillId="36" borderId="0" applyNumberFormat="0" applyBorder="0" applyAlignment="0" applyProtection="0"/>
    <xf numFmtId="0" fontId="13" fillId="13" borderId="0" applyNumberFormat="0" applyBorder="0" applyAlignment="0" applyProtection="0"/>
    <xf numFmtId="0" fontId="49" fillId="37" borderId="0" applyNumberFormat="0" applyBorder="0" applyAlignment="0" applyProtection="0"/>
    <xf numFmtId="0" fontId="13" fillId="17" borderId="0" applyNumberFormat="0" applyBorder="0" applyAlignment="0" applyProtection="0"/>
    <xf numFmtId="0" fontId="49" fillId="38" borderId="0" applyNumberFormat="0" applyBorder="0" applyAlignment="0" applyProtection="0"/>
    <xf numFmtId="0" fontId="13" fillId="21" borderId="0" applyNumberFormat="0" applyBorder="0" applyAlignment="0" applyProtection="0"/>
    <xf numFmtId="0" fontId="49" fillId="39" borderId="0" applyNumberFormat="0" applyBorder="0" applyAlignment="0" applyProtection="0"/>
    <xf numFmtId="0" fontId="13" fillId="25" borderId="0" applyNumberFormat="0" applyBorder="0" applyAlignment="0" applyProtection="0"/>
    <xf numFmtId="0" fontId="49" fillId="40" borderId="0" applyNumberFormat="0" applyBorder="0" applyAlignment="0" applyProtection="0"/>
    <xf numFmtId="0" fontId="13" fillId="29" borderId="0" applyNumberFormat="0" applyBorder="0" applyAlignment="0" applyProtection="0"/>
    <xf numFmtId="0" fontId="49" fillId="41" borderId="0" applyNumberFormat="0" applyBorder="0" applyAlignment="0" applyProtection="0"/>
    <xf numFmtId="0" fontId="13" fillId="33" borderId="0" applyNumberFormat="0" applyBorder="0" applyAlignment="0" applyProtection="0"/>
    <xf numFmtId="0" fontId="49" fillId="42" borderId="0" applyNumberFormat="0" applyBorder="0" applyAlignment="0" applyProtection="0"/>
    <xf numFmtId="0" fontId="13" fillId="14" borderId="0" applyNumberFormat="0" applyBorder="0" applyAlignment="0" applyProtection="0"/>
    <xf numFmtId="0" fontId="49" fillId="43" borderId="0" applyNumberFormat="0" applyBorder="0" applyAlignment="0" applyProtection="0"/>
    <xf numFmtId="0" fontId="13" fillId="18" borderId="0" applyNumberFormat="0" applyBorder="0" applyAlignment="0" applyProtection="0"/>
    <xf numFmtId="0" fontId="49" fillId="44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6" borderId="0" applyNumberFormat="0" applyBorder="0" applyAlignment="0" applyProtection="0"/>
    <xf numFmtId="0" fontId="49" fillId="42" borderId="0" applyNumberFormat="0" applyBorder="0" applyAlignment="0" applyProtection="0"/>
    <xf numFmtId="0" fontId="13" fillId="30" borderId="0" applyNumberFormat="0" applyBorder="0" applyAlignment="0" applyProtection="0"/>
    <xf numFmtId="0" fontId="49" fillId="45" borderId="0" applyNumberFormat="0" applyBorder="0" applyAlignment="0" applyProtection="0"/>
    <xf numFmtId="0" fontId="13" fillId="34" borderId="0" applyNumberFormat="0" applyBorder="0" applyAlignment="0" applyProtection="0"/>
    <xf numFmtId="0" fontId="84" fillId="46" borderId="0" applyNumberFormat="0" applyBorder="0" applyAlignment="0" applyProtection="0"/>
    <xf numFmtId="0" fontId="82" fillId="15" borderId="0" applyNumberFormat="0" applyBorder="0" applyAlignment="0" applyProtection="0"/>
    <xf numFmtId="0" fontId="84" fillId="43" borderId="0" applyNumberFormat="0" applyBorder="0" applyAlignment="0" applyProtection="0"/>
    <xf numFmtId="0" fontId="82" fillId="19" borderId="0" applyNumberFormat="0" applyBorder="0" applyAlignment="0" applyProtection="0"/>
    <xf numFmtId="0" fontId="84" fillId="44" borderId="0" applyNumberFormat="0" applyBorder="0" applyAlignment="0" applyProtection="0"/>
    <xf numFmtId="0" fontId="82" fillId="23" borderId="0" applyNumberFormat="0" applyBorder="0" applyAlignment="0" applyProtection="0"/>
    <xf numFmtId="0" fontId="84" fillId="47" borderId="0" applyNumberFormat="0" applyBorder="0" applyAlignment="0" applyProtection="0"/>
    <xf numFmtId="0" fontId="82" fillId="27" borderId="0" applyNumberFormat="0" applyBorder="0" applyAlignment="0" applyProtection="0"/>
    <xf numFmtId="0" fontId="84" fillId="48" borderId="0" applyNumberFormat="0" applyBorder="0" applyAlignment="0" applyProtection="0"/>
    <xf numFmtId="0" fontId="82" fillId="31" borderId="0" applyNumberFormat="0" applyBorder="0" applyAlignment="0" applyProtection="0"/>
    <xf numFmtId="0" fontId="84" fillId="49" borderId="0" applyNumberFormat="0" applyBorder="0" applyAlignment="0" applyProtection="0"/>
    <xf numFmtId="0" fontId="82" fillId="35" borderId="0" applyNumberFormat="0" applyBorder="0" applyAlignment="0" applyProtection="0"/>
    <xf numFmtId="0" fontId="84" fillId="50" borderId="0" applyNumberFormat="0" applyBorder="0" applyAlignment="0" applyProtection="0"/>
    <xf numFmtId="0" fontId="82" fillId="12" borderId="0" applyNumberFormat="0" applyBorder="0" applyAlignment="0" applyProtection="0"/>
    <xf numFmtId="0" fontId="84" fillId="51" borderId="0" applyNumberFormat="0" applyBorder="0" applyAlignment="0" applyProtection="0"/>
    <xf numFmtId="0" fontId="82" fillId="16" borderId="0" applyNumberFormat="0" applyBorder="0" applyAlignment="0" applyProtection="0"/>
    <xf numFmtId="0" fontId="84" fillId="52" borderId="0" applyNumberFormat="0" applyBorder="0" applyAlignment="0" applyProtection="0"/>
    <xf numFmtId="0" fontId="82" fillId="20" borderId="0" applyNumberFormat="0" applyBorder="0" applyAlignment="0" applyProtection="0"/>
    <xf numFmtId="0" fontId="84" fillId="47" borderId="0" applyNumberFormat="0" applyBorder="0" applyAlignment="0" applyProtection="0"/>
    <xf numFmtId="0" fontId="82" fillId="24" borderId="0" applyNumberFormat="0" applyBorder="0" applyAlignment="0" applyProtection="0"/>
    <xf numFmtId="0" fontId="84" fillId="48" borderId="0" applyNumberFormat="0" applyBorder="0" applyAlignment="0" applyProtection="0"/>
    <xf numFmtId="0" fontId="82" fillId="28" borderId="0" applyNumberFormat="0" applyBorder="0" applyAlignment="0" applyProtection="0"/>
    <xf numFmtId="0" fontId="84" fillId="53" borderId="0" applyNumberFormat="0" applyBorder="0" applyAlignment="0" applyProtection="0"/>
    <xf numFmtId="0" fontId="82" fillId="32" borderId="0" applyNumberFormat="0" applyBorder="0" applyAlignment="0" applyProtection="0"/>
    <xf numFmtId="0" fontId="85" fillId="41" borderId="42" applyNumberFormat="0" applyAlignment="0" applyProtection="0"/>
    <xf numFmtId="0" fontId="75" fillId="8" borderId="36" applyNumberFormat="0" applyAlignment="0" applyProtection="0"/>
    <xf numFmtId="0" fontId="86" fillId="54" borderId="43" applyNumberFormat="0" applyAlignment="0" applyProtection="0"/>
    <xf numFmtId="0" fontId="76" fillId="9" borderId="37" applyNumberFormat="0" applyAlignment="0" applyProtection="0"/>
    <xf numFmtId="0" fontId="87" fillId="38" borderId="0" applyNumberFormat="0" applyBorder="0" applyAlignment="0" applyProtection="0"/>
    <xf numFmtId="0" fontId="72" fillId="5" borderId="0" applyNumberFormat="0" applyBorder="0" applyAlignment="0" applyProtection="0"/>
    <xf numFmtId="0" fontId="88" fillId="0" borderId="44" applyNumberFormat="0" applyFill="0" applyAlignment="0" applyProtection="0"/>
    <xf numFmtId="0" fontId="78" fillId="0" borderId="38" applyNumberFormat="0" applyFill="0" applyAlignment="0" applyProtection="0"/>
    <xf numFmtId="0" fontId="89" fillId="55" borderId="45" applyNumberFormat="0" applyAlignment="0" applyProtection="0"/>
    <xf numFmtId="0" fontId="79" fillId="10" borderId="39" applyNumberFormat="0" applyAlignment="0" applyProtection="0"/>
    <xf numFmtId="0" fontId="90" fillId="0" borderId="46" applyNumberFormat="0" applyFill="0" applyAlignment="0" applyProtection="0"/>
    <xf numFmtId="0" fontId="69" fillId="0" borderId="33" applyNumberFormat="0" applyFill="0" applyAlignment="0" applyProtection="0"/>
    <xf numFmtId="0" fontId="91" fillId="0" borderId="47" applyNumberFormat="0" applyFill="0" applyAlignment="0" applyProtection="0"/>
    <xf numFmtId="0" fontId="70" fillId="0" borderId="34" applyNumberFormat="0" applyFill="0" applyAlignment="0" applyProtection="0"/>
    <xf numFmtId="0" fontId="92" fillId="0" borderId="48" applyNumberFormat="0" applyFill="0" applyAlignment="0" applyProtection="0"/>
    <xf numFmtId="0" fontId="71" fillId="0" borderId="35" applyNumberFormat="0" applyFill="0" applyAlignment="0" applyProtection="0"/>
    <xf numFmtId="0" fontId="9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74" fillId="7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3" fillId="0" borderId="0"/>
    <xf numFmtId="0" fontId="47" fillId="0" borderId="0"/>
    <xf numFmtId="0" fontId="47" fillId="0" borderId="0"/>
    <xf numFmtId="0" fontId="83" fillId="0" borderId="0" applyProtection="0"/>
    <xf numFmtId="0" fontId="49" fillId="0" borderId="0"/>
    <xf numFmtId="0" fontId="47" fillId="0" borderId="0"/>
    <xf numFmtId="0" fontId="47" fillId="0" borderId="0"/>
    <xf numFmtId="0" fontId="13" fillId="0" borderId="0"/>
    <xf numFmtId="0" fontId="94" fillId="54" borderId="42" applyNumberFormat="0" applyAlignment="0" applyProtection="0"/>
    <xf numFmtId="0" fontId="77" fillId="9" borderId="36" applyNumberFormat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5" fillId="0" borderId="49" applyNumberFormat="0" applyFill="0" applyAlignment="0" applyProtection="0"/>
    <xf numFmtId="0" fontId="68" fillId="0" borderId="41" applyNumberFormat="0" applyFill="0" applyAlignment="0" applyProtection="0"/>
    <xf numFmtId="0" fontId="9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57" borderId="50" applyNumberFormat="0" applyFont="0" applyAlignment="0" applyProtection="0"/>
    <xf numFmtId="0" fontId="13" fillId="11" borderId="40" applyNumberFormat="0" applyFont="0" applyAlignment="0" applyProtection="0"/>
    <xf numFmtId="0" fontId="99" fillId="37" borderId="0" applyNumberFormat="0" applyBorder="0" applyAlignment="0" applyProtection="0"/>
    <xf numFmtId="0" fontId="73" fillId="6" borderId="0" applyNumberFormat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6">
    <xf numFmtId="0" fontId="0" fillId="0" borderId="0" xfId="0"/>
    <xf numFmtId="165" fontId="57" fillId="3" borderId="10" xfId="4" applyNumberFormat="1" applyFont="1" applyFill="1" applyBorder="1" applyAlignment="1">
      <alignment vertical="center" shrinkToFit="1"/>
    </xf>
    <xf numFmtId="165" fontId="57" fillId="3" borderId="11" xfId="4" applyNumberFormat="1" applyFont="1" applyFill="1" applyBorder="1" applyAlignment="1">
      <alignment vertical="center" shrinkToFit="1"/>
    </xf>
    <xf numFmtId="165" fontId="57" fillId="0" borderId="10" xfId="4" applyNumberFormat="1" applyFont="1" applyFill="1" applyBorder="1" applyAlignment="1">
      <alignment vertical="center" shrinkToFit="1"/>
    </xf>
    <xf numFmtId="165" fontId="59" fillId="3" borderId="10" xfId="4" applyNumberFormat="1" applyFont="1" applyFill="1" applyBorder="1" applyAlignment="1">
      <alignment vertical="center" shrinkToFit="1"/>
    </xf>
    <xf numFmtId="165" fontId="59" fillId="3" borderId="11" xfId="4" applyNumberFormat="1" applyFont="1" applyFill="1" applyBorder="1" applyAlignment="1">
      <alignment vertical="center" shrinkToFit="1"/>
    </xf>
    <xf numFmtId="165" fontId="59" fillId="0" borderId="12" xfId="4" applyNumberFormat="1" applyFont="1" applyFill="1" applyBorder="1" applyAlignment="1">
      <alignment vertical="center" shrinkToFit="1"/>
    </xf>
    <xf numFmtId="165" fontId="59" fillId="0" borderId="10" xfId="4" applyNumberFormat="1" applyFont="1" applyFill="1" applyBorder="1" applyAlignment="1">
      <alignment vertical="center" shrinkToFit="1"/>
    </xf>
    <xf numFmtId="165" fontId="57" fillId="3" borderId="10" xfId="4" applyNumberFormat="1" applyFont="1" applyFill="1" applyBorder="1" applyAlignment="1">
      <alignment horizontal="center" vertical="center" shrinkToFit="1"/>
    </xf>
    <xf numFmtId="165" fontId="57" fillId="3" borderId="11" xfId="4" applyNumberFormat="1" applyFont="1" applyFill="1" applyBorder="1" applyAlignment="1">
      <alignment horizontal="center" vertical="center" shrinkToFit="1"/>
    </xf>
    <xf numFmtId="165" fontId="57" fillId="0" borderId="12" xfId="4" applyNumberFormat="1" applyFont="1" applyFill="1" applyBorder="1" applyAlignment="1">
      <alignment horizontal="center" vertical="center" shrinkToFit="1"/>
    </xf>
    <xf numFmtId="165" fontId="57" fillId="0" borderId="10" xfId="4" applyNumberFormat="1" applyFont="1" applyFill="1" applyBorder="1" applyAlignment="1">
      <alignment horizontal="center" vertical="center" shrinkToFit="1"/>
    </xf>
    <xf numFmtId="0" fontId="47" fillId="0" borderId="0" xfId="1" applyFont="1"/>
    <xf numFmtId="0" fontId="61" fillId="0" borderId="0" xfId="1" applyFont="1" applyAlignment="1">
      <alignment vertical="center"/>
    </xf>
    <xf numFmtId="0" fontId="47" fillId="0" borderId="0" xfId="1" applyFont="1" applyAlignment="1">
      <alignment horizontal="center"/>
    </xf>
    <xf numFmtId="0" fontId="62" fillId="0" borderId="0" xfId="1" applyFont="1"/>
    <xf numFmtId="0" fontId="63" fillId="0" borderId="1" xfId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63" fillId="0" borderId="0" xfId="1" applyFont="1" applyFill="1" applyAlignment="1">
      <alignment horizontal="center"/>
    </xf>
    <xf numFmtId="0" fontId="62" fillId="3" borderId="1" xfId="1" applyFont="1" applyFill="1" applyBorder="1" applyAlignment="1">
      <alignment horizontal="center" vertical="center"/>
    </xf>
    <xf numFmtId="4" fontId="62" fillId="3" borderId="1" xfId="1" applyNumberFormat="1" applyFont="1" applyFill="1" applyBorder="1" applyAlignment="1">
      <alignment horizontal="right" vertical="center" wrapText="1"/>
    </xf>
    <xf numFmtId="0" fontId="62" fillId="0" borderId="0" xfId="1" applyFont="1" applyFill="1"/>
    <xf numFmtId="4" fontId="62" fillId="3" borderId="1" xfId="1" applyNumberFormat="1" applyFont="1" applyFill="1" applyBorder="1" applyAlignment="1"/>
    <xf numFmtId="0" fontId="62" fillId="0" borderId="0" xfId="1" applyFont="1" applyAlignment="1">
      <alignment vertical="center"/>
    </xf>
    <xf numFmtId="0" fontId="47" fillId="0" borderId="1" xfId="1" applyFont="1" applyFill="1" applyBorder="1" applyAlignment="1">
      <alignment horizontal="left" vertical="center" wrapText="1"/>
    </xf>
    <xf numFmtId="0" fontId="47" fillId="0" borderId="1" xfId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/>
    </xf>
    <xf numFmtId="4" fontId="62" fillId="0" borderId="1" xfId="1" applyNumberFormat="1" applyFont="1" applyFill="1" applyBorder="1" applyAlignment="1"/>
    <xf numFmtId="4" fontId="47" fillId="0" borderId="1" xfId="1" applyNumberFormat="1" applyFont="1" applyFill="1" applyBorder="1" applyAlignment="1"/>
    <xf numFmtId="4" fontId="62" fillId="0" borderId="1" xfId="1" applyNumberFormat="1" applyFont="1" applyBorder="1" applyAlignment="1"/>
    <xf numFmtId="0" fontId="47" fillId="0" borderId="0" xfId="1" applyFont="1" applyAlignment="1">
      <alignment vertical="center"/>
    </xf>
    <xf numFmtId="0" fontId="47" fillId="0" borderId="17" xfId="1" applyFont="1" applyFill="1" applyBorder="1" applyAlignment="1">
      <alignment horizontal="left" vertical="center" wrapText="1"/>
    </xf>
    <xf numFmtId="0" fontId="62" fillId="0" borderId="17" xfId="1" applyFont="1" applyFill="1" applyBorder="1" applyAlignment="1">
      <alignment horizontal="center" vertical="center"/>
    </xf>
    <xf numFmtId="4" fontId="47" fillId="0" borderId="17" xfId="1" applyNumberFormat="1" applyFont="1" applyFill="1" applyBorder="1" applyAlignment="1"/>
    <xf numFmtId="4" fontId="62" fillId="0" borderId="17" xfId="1" applyNumberFormat="1" applyFont="1" applyBorder="1" applyAlignment="1"/>
    <xf numFmtId="4" fontId="47" fillId="0" borderId="1" xfId="1" applyNumberFormat="1" applyFont="1" applyBorder="1" applyAlignment="1"/>
    <xf numFmtId="0" fontId="47" fillId="0" borderId="0" xfId="1" applyFont="1" applyFill="1" applyAlignment="1">
      <alignment vertical="center"/>
    </xf>
    <xf numFmtId="0" fontId="62" fillId="0" borderId="0" xfId="1" applyFont="1" applyFill="1" applyAlignment="1">
      <alignment horizontal="right"/>
    </xf>
    <xf numFmtId="0" fontId="47" fillId="0" borderId="20" xfId="1" applyFont="1" applyFill="1" applyBorder="1" applyAlignment="1">
      <alignment horizontal="left" vertical="center" wrapText="1"/>
    </xf>
    <xf numFmtId="0" fontId="47" fillId="0" borderId="2" xfId="1" applyFont="1" applyFill="1" applyBorder="1" applyAlignment="1">
      <alignment horizontal="center" vertical="center" wrapText="1"/>
    </xf>
    <xf numFmtId="0" fontId="62" fillId="0" borderId="2" xfId="1" applyFont="1" applyFill="1" applyBorder="1" applyAlignment="1">
      <alignment horizontal="center" vertical="center"/>
    </xf>
    <xf numFmtId="4" fontId="47" fillId="0" borderId="2" xfId="1" applyNumberFormat="1" applyFont="1" applyFill="1" applyBorder="1" applyAlignment="1"/>
    <xf numFmtId="0" fontId="47" fillId="0" borderId="0" xfId="1" applyFont="1" applyFill="1" applyBorder="1"/>
    <xf numFmtId="0" fontId="47" fillId="0" borderId="1" xfId="2" applyFont="1" applyFill="1" applyBorder="1" applyAlignment="1">
      <alignment vertical="center" wrapText="1"/>
    </xf>
    <xf numFmtId="0" fontId="47" fillId="0" borderId="1" xfId="2" applyFont="1" applyFill="1" applyBorder="1" applyAlignment="1">
      <alignment horizontal="left" vertical="center" wrapText="1"/>
    </xf>
    <xf numFmtId="0" fontId="47" fillId="0" borderId="3" xfId="1" applyFont="1" applyFill="1" applyBorder="1" applyAlignment="1">
      <alignment horizontal="center" vertical="center" wrapText="1"/>
    </xf>
    <xf numFmtId="164" fontId="47" fillId="0" borderId="1" xfId="1" applyNumberFormat="1" applyFont="1" applyFill="1" applyBorder="1" applyAlignment="1"/>
    <xf numFmtId="4" fontId="47" fillId="0" borderId="1" xfId="1" applyNumberFormat="1" applyFont="1" applyFill="1" applyBorder="1" applyAlignment="1">
      <alignment horizontal="right"/>
    </xf>
    <xf numFmtId="0" fontId="47" fillId="0" borderId="5" xfId="2" applyFont="1" applyFill="1" applyBorder="1" applyAlignment="1">
      <alignment vertical="center" wrapText="1"/>
    </xf>
    <xf numFmtId="0" fontId="47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/>
    </xf>
    <xf numFmtId="4" fontId="47" fillId="0" borderId="1" xfId="2" applyNumberFormat="1" applyFont="1" applyFill="1" applyBorder="1"/>
    <xf numFmtId="0" fontId="47" fillId="0" borderId="0" xfId="1" applyFont="1" applyFill="1"/>
    <xf numFmtId="0" fontId="47" fillId="0" borderId="5" xfId="0" applyFont="1" applyFill="1" applyBorder="1" applyAlignment="1">
      <alignment vertical="center" wrapText="1"/>
    </xf>
    <xf numFmtId="0" fontId="47" fillId="0" borderId="5" xfId="2" applyFont="1" applyFill="1" applyBorder="1" applyAlignment="1">
      <alignment horizontal="center" vertical="center" wrapText="1"/>
    </xf>
    <xf numFmtId="0" fontId="62" fillId="0" borderId="5" xfId="2" applyFont="1" applyFill="1" applyBorder="1" applyAlignment="1">
      <alignment horizontal="center" vertical="center"/>
    </xf>
    <xf numFmtId="4" fontId="47" fillId="0" borderId="5" xfId="2" applyNumberFormat="1" applyFont="1" applyFill="1" applyBorder="1"/>
    <xf numFmtId="0" fontId="47" fillId="0" borderId="6" xfId="2" applyFont="1" applyFill="1" applyBorder="1" applyAlignment="1">
      <alignment vertical="center" wrapText="1"/>
    </xf>
    <xf numFmtId="0" fontId="47" fillId="0" borderId="3" xfId="2" applyFont="1" applyFill="1" applyBorder="1" applyAlignment="1">
      <alignment horizontal="center" vertical="center" wrapText="1"/>
    </xf>
    <xf numFmtId="4" fontId="47" fillId="0" borderId="1" xfId="1" applyNumberFormat="1" applyFont="1" applyFill="1" applyBorder="1"/>
    <xf numFmtId="0" fontId="47" fillId="0" borderId="7" xfId="11" applyFont="1" applyFill="1" applyBorder="1" applyAlignment="1" applyProtection="1">
      <alignment horizontal="left" vertical="center" wrapText="1"/>
    </xf>
    <xf numFmtId="0" fontId="47" fillId="0" borderId="2" xfId="2" applyFont="1" applyFill="1" applyBorder="1" applyAlignment="1">
      <alignment horizontal="center" vertical="center" wrapText="1"/>
    </xf>
    <xf numFmtId="0" fontId="47" fillId="0" borderId="2" xfId="11" applyFont="1" applyFill="1" applyBorder="1" applyAlignment="1" applyProtection="1">
      <alignment vertical="center" wrapText="1"/>
    </xf>
    <xf numFmtId="4" fontId="47" fillId="0" borderId="2" xfId="1" applyNumberFormat="1" applyFont="1" applyFill="1" applyBorder="1"/>
    <xf numFmtId="0" fontId="47" fillId="0" borderId="17" xfId="2" applyFont="1" applyFill="1" applyBorder="1" applyAlignment="1">
      <alignment horizontal="left" vertical="center" wrapText="1"/>
    </xf>
    <xf numFmtId="0" fontId="47" fillId="0" borderId="17" xfId="2" applyFont="1" applyFill="1" applyBorder="1" applyAlignment="1">
      <alignment horizontal="center" vertical="center" wrapText="1"/>
    </xf>
    <xf numFmtId="0" fontId="62" fillId="0" borderId="17" xfId="2" applyFont="1" applyFill="1" applyBorder="1" applyAlignment="1">
      <alignment horizontal="center" vertical="center"/>
    </xf>
    <xf numFmtId="0" fontId="62" fillId="0" borderId="0" xfId="1" applyFont="1" applyAlignment="1">
      <alignment horizontal="center"/>
    </xf>
    <xf numFmtId="0" fontId="62" fillId="0" borderId="22" xfId="1" applyFont="1" applyFill="1" applyBorder="1" applyAlignment="1">
      <alignment horizontal="center" vertical="center"/>
    </xf>
    <xf numFmtId="49" fontId="54" fillId="4" borderId="23" xfId="4" applyNumberFormat="1" applyFont="1" applyFill="1" applyBorder="1" applyAlignment="1">
      <alignment horizontal="center" vertical="center"/>
    </xf>
    <xf numFmtId="49" fontId="54" fillId="4" borderId="25" xfId="4" applyNumberFormat="1" applyFont="1" applyFill="1" applyBorder="1" applyAlignment="1">
      <alignment horizontal="center" vertical="center"/>
    </xf>
    <xf numFmtId="1" fontId="54" fillId="4" borderId="26" xfId="4" applyNumberFormat="1" applyFont="1" applyFill="1" applyBorder="1" applyAlignment="1">
      <alignment horizontal="center" vertical="center" wrapText="1"/>
    </xf>
    <xf numFmtId="1" fontId="54" fillId="4" borderId="24" xfId="4" applyNumberFormat="1" applyFont="1" applyFill="1" applyBorder="1" applyAlignment="1">
      <alignment horizontal="center" vertical="center" wrapText="1"/>
    </xf>
    <xf numFmtId="1" fontId="54" fillId="4" borderId="25" xfId="4" applyNumberFormat="1" applyFont="1" applyFill="1" applyBorder="1" applyAlignment="1">
      <alignment horizontal="center" vertical="center" wrapText="1"/>
    </xf>
    <xf numFmtId="1" fontId="54" fillId="4" borderId="24" xfId="4" applyNumberFormat="1" applyFont="1" applyFill="1" applyBorder="1" applyAlignment="1">
      <alignment horizontal="center" vertical="center"/>
    </xf>
    <xf numFmtId="165" fontId="59" fillId="3" borderId="12" xfId="4" applyNumberFormat="1" applyFont="1" applyFill="1" applyBorder="1" applyAlignment="1">
      <alignment vertical="center" shrinkToFit="1"/>
    </xf>
    <xf numFmtId="165" fontId="57" fillId="3" borderId="12" xfId="4" applyNumberFormat="1" applyFont="1" applyFill="1" applyBorder="1" applyAlignment="1">
      <alignment vertical="center" shrinkToFit="1"/>
    </xf>
    <xf numFmtId="165" fontId="57" fillId="3" borderId="12" xfId="4" applyNumberFormat="1" applyFont="1" applyFill="1" applyBorder="1" applyAlignment="1">
      <alignment horizontal="center" vertical="center" shrinkToFit="1"/>
    </xf>
    <xf numFmtId="10" fontId="59" fillId="0" borderId="10" xfId="4" applyNumberFormat="1" applyFont="1" applyFill="1" applyBorder="1" applyAlignment="1">
      <alignment vertical="center" shrinkToFit="1"/>
    </xf>
    <xf numFmtId="10" fontId="59" fillId="3" borderId="12" xfId="4" applyNumberFormat="1" applyFont="1" applyFill="1" applyBorder="1" applyAlignment="1">
      <alignment vertical="center" shrinkToFit="1"/>
    </xf>
    <xf numFmtId="10" fontId="59" fillId="3" borderId="10" xfId="4" applyNumberFormat="1" applyFont="1" applyFill="1" applyBorder="1" applyAlignment="1">
      <alignment vertical="center" shrinkToFit="1"/>
    </xf>
    <xf numFmtId="10" fontId="59" fillId="3" borderId="11" xfId="4" applyNumberFormat="1" applyFont="1" applyFill="1" applyBorder="1" applyAlignment="1">
      <alignment vertical="center" shrinkToFit="1"/>
    </xf>
    <xf numFmtId="165" fontId="59" fillId="0" borderId="10" xfId="4" applyNumberFormat="1" applyFont="1" applyFill="1" applyBorder="1" applyAlignment="1">
      <alignment horizontal="center" vertical="center" shrinkToFit="1"/>
    </xf>
    <xf numFmtId="165" fontId="57" fillId="3" borderId="16" xfId="4" applyNumberFormat="1" applyFont="1" applyFill="1" applyBorder="1" applyAlignment="1">
      <alignment horizontal="center" vertical="center" shrinkToFit="1"/>
    </xf>
    <xf numFmtId="165" fontId="57" fillId="3" borderId="14" xfId="4" applyNumberFormat="1" applyFont="1" applyFill="1" applyBorder="1" applyAlignment="1">
      <alignment horizontal="center" vertical="center" shrinkToFit="1"/>
    </xf>
    <xf numFmtId="165" fontId="57" fillId="3" borderId="15" xfId="4" applyNumberFormat="1" applyFont="1" applyFill="1" applyBorder="1" applyAlignment="1">
      <alignment horizontal="center" vertical="center" shrinkToFit="1"/>
    </xf>
    <xf numFmtId="0" fontId="47" fillId="0" borderId="22" xfId="1" applyFont="1" applyFill="1" applyBorder="1" applyAlignment="1">
      <alignment horizontal="left" vertical="center" wrapText="1"/>
    </xf>
    <xf numFmtId="0" fontId="47" fillId="0" borderId="22" xfId="1" applyFont="1" applyFill="1" applyBorder="1" applyAlignment="1">
      <alignment horizontal="center" vertical="center" wrapText="1"/>
    </xf>
    <xf numFmtId="4" fontId="62" fillId="0" borderId="22" xfId="1" applyNumberFormat="1" applyFont="1" applyFill="1" applyBorder="1" applyAlignment="1"/>
    <xf numFmtId="4" fontId="47" fillId="0" borderId="22" xfId="1" applyNumberFormat="1" applyFont="1" applyFill="1" applyBorder="1" applyAlignment="1"/>
    <xf numFmtId="0" fontId="47" fillId="0" borderId="2" xfId="1" applyFont="1" applyFill="1" applyBorder="1" applyAlignment="1">
      <alignment horizontal="left" vertical="center" wrapText="1"/>
    </xf>
    <xf numFmtId="0" fontId="47" fillId="0" borderId="2" xfId="1" applyFont="1" applyFill="1" applyBorder="1" applyAlignment="1">
      <alignment horizontal="center" vertical="center"/>
    </xf>
    <xf numFmtId="0" fontId="47" fillId="0" borderId="2" xfId="11" applyFont="1" applyFill="1" applyBorder="1" applyAlignment="1">
      <alignment vertical="center" wrapText="1"/>
    </xf>
    <xf numFmtId="0" fontId="65" fillId="0" borderId="1" xfId="0" applyFont="1" applyFill="1" applyBorder="1" applyAlignment="1">
      <alignment vertical="center" wrapText="1"/>
    </xf>
    <xf numFmtId="0" fontId="62" fillId="0" borderId="1" xfId="1" applyFont="1" applyFill="1" applyBorder="1" applyAlignment="1">
      <alignment horizontal="center"/>
    </xf>
    <xf numFmtId="0" fontId="62" fillId="2" borderId="1" xfId="1" applyFont="1" applyFill="1" applyBorder="1" applyAlignment="1">
      <alignment horizontal="center" vertical="center"/>
    </xf>
    <xf numFmtId="4" fontId="47" fillId="3" borderId="1" xfId="1" applyNumberFormat="1" applyFont="1" applyFill="1" applyBorder="1" applyAlignment="1"/>
    <xf numFmtId="164" fontId="47" fillId="0" borderId="1" xfId="1" applyNumberFormat="1" applyFont="1" applyFill="1" applyBorder="1" applyAlignment="1">
      <alignment horizontal="right"/>
    </xf>
    <xf numFmtId="4" fontId="47" fillId="0" borderId="1" xfId="1" applyNumberFormat="1" applyFont="1" applyFill="1" applyBorder="1" applyAlignment="1">
      <alignment horizontal="right" vertical="center"/>
    </xf>
    <xf numFmtId="0" fontId="47" fillId="0" borderId="2" xfId="2" applyFont="1" applyFill="1" applyBorder="1" applyAlignment="1">
      <alignment vertical="center" wrapText="1"/>
    </xf>
    <xf numFmtId="4" fontId="47" fillId="0" borderId="2" xfId="1" applyNumberFormat="1" applyFont="1" applyFill="1" applyBorder="1" applyAlignment="1">
      <alignment horizontal="right"/>
    </xf>
    <xf numFmtId="4" fontId="47" fillId="0" borderId="22" xfId="1" applyNumberFormat="1" applyFont="1" applyFill="1" applyBorder="1" applyAlignment="1">
      <alignment horizontal="right"/>
    </xf>
    <xf numFmtId="0" fontId="67" fillId="0" borderId="0" xfId="1" applyFont="1" applyFill="1"/>
    <xf numFmtId="0" fontId="65" fillId="0" borderId="0" xfId="1" applyFont="1" applyFill="1"/>
    <xf numFmtId="0" fontId="47" fillId="0" borderId="2" xfId="2" applyFont="1" applyFill="1" applyBorder="1" applyAlignment="1">
      <alignment horizontal="left" vertical="center" wrapText="1"/>
    </xf>
    <xf numFmtId="0" fontId="47" fillId="0" borderId="4" xfId="1" applyFont="1" applyFill="1" applyBorder="1" applyAlignment="1">
      <alignment horizontal="center" vertical="center" wrapText="1"/>
    </xf>
    <xf numFmtId="164" fontId="47" fillId="0" borderId="2" xfId="1" applyNumberFormat="1" applyFont="1" applyFill="1" applyBorder="1" applyAlignment="1"/>
    <xf numFmtId="0" fontId="61" fillId="0" borderId="0" xfId="1" applyFont="1" applyFill="1" applyAlignment="1">
      <alignment vertical="center"/>
    </xf>
    <xf numFmtId="0" fontId="47" fillId="0" borderId="0" xfId="1" applyFont="1" applyFill="1" applyAlignment="1">
      <alignment horizontal="center"/>
    </xf>
    <xf numFmtId="0" fontId="62" fillId="0" borderId="0" xfId="1" applyFont="1" applyFill="1" applyAlignment="1">
      <alignment vertical="center"/>
    </xf>
    <xf numFmtId="0" fontId="47" fillId="0" borderId="5" xfId="1" applyFont="1" applyFill="1" applyBorder="1" applyAlignment="1">
      <alignment horizontal="left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62" fillId="0" borderId="5" xfId="1" applyFont="1" applyFill="1" applyBorder="1" applyAlignment="1">
      <alignment horizontal="center" vertical="center"/>
    </xf>
    <xf numFmtId="4" fontId="47" fillId="0" borderId="5" xfId="1" applyNumberFormat="1" applyFont="1" applyFill="1" applyBorder="1" applyAlignment="1"/>
    <xf numFmtId="4" fontId="47" fillId="0" borderId="22" xfId="1" applyNumberFormat="1" applyFont="1" applyFill="1" applyBorder="1"/>
    <xf numFmtId="4" fontId="47" fillId="0" borderId="17" xfId="2" applyNumberFormat="1" applyFont="1" applyFill="1" applyBorder="1" applyAlignment="1"/>
    <xf numFmtId="0" fontId="47" fillId="0" borderId="22" xfId="2" applyFont="1" applyFill="1" applyBorder="1" applyAlignment="1" applyProtection="1">
      <alignment horizontal="left" vertical="center" wrapText="1"/>
    </xf>
    <xf numFmtId="4" fontId="62" fillId="0" borderId="22" xfId="1" applyNumberFormat="1" applyFont="1" applyFill="1" applyBorder="1"/>
    <xf numFmtId="0" fontId="66" fillId="0" borderId="0" xfId="110" applyFont="1" applyProtection="1">
      <protection locked="0"/>
    </xf>
    <xf numFmtId="0" fontId="53" fillId="0" borderId="0" xfId="110" applyFont="1" applyProtection="1">
      <protection locked="0"/>
    </xf>
    <xf numFmtId="0" fontId="48" fillId="0" borderId="0" xfId="110"/>
    <xf numFmtId="0" fontId="53" fillId="0" borderId="0" xfId="110" applyFont="1"/>
    <xf numFmtId="0" fontId="55" fillId="0" borderId="8" xfId="110" applyFont="1" applyBorder="1" applyAlignment="1" applyProtection="1">
      <alignment vertical="center" wrapText="1"/>
      <protection locked="0"/>
    </xf>
    <xf numFmtId="0" fontId="58" fillId="0" borderId="9" xfId="110" applyFont="1" applyBorder="1" applyAlignment="1">
      <alignment horizontal="left" vertical="center"/>
    </xf>
    <xf numFmtId="0" fontId="58" fillId="0" borderId="11" xfId="110" applyFont="1" applyBorder="1" applyAlignment="1">
      <alignment horizontal="left" vertical="center" wrapText="1" indent="2"/>
    </xf>
    <xf numFmtId="0" fontId="58" fillId="0" borderId="11" xfId="110" applyFont="1" applyBorder="1" applyAlignment="1">
      <alignment horizontal="left" vertical="center" wrapText="1" indent="4"/>
    </xf>
    <xf numFmtId="0" fontId="56" fillId="0" borderId="9" xfId="110" applyFont="1" applyBorder="1" applyAlignment="1">
      <alignment horizontal="left" vertical="center"/>
    </xf>
    <xf numFmtId="0" fontId="56" fillId="0" borderId="11" xfId="110" applyFont="1" applyBorder="1" applyAlignment="1">
      <alignment vertical="center" wrapText="1"/>
    </xf>
    <xf numFmtId="0" fontId="56" fillId="0" borderId="9" xfId="110" quotePrefix="1" applyFont="1" applyBorder="1" applyAlignment="1">
      <alignment horizontal="left" vertical="center"/>
    </xf>
    <xf numFmtId="0" fontId="58" fillId="0" borderId="9" xfId="110" applyFont="1" applyBorder="1" applyAlignment="1" applyProtection="1">
      <alignment horizontal="left" vertical="center"/>
      <protection locked="0"/>
    </xf>
    <xf numFmtId="10" fontId="59" fillId="0" borderId="10" xfId="125" applyNumberFormat="1" applyFont="1" applyFill="1" applyBorder="1" applyAlignment="1">
      <alignment vertical="center" shrinkToFit="1"/>
    </xf>
    <xf numFmtId="0" fontId="58" fillId="0" borderId="13" xfId="110" applyFont="1" applyBorder="1" applyAlignment="1">
      <alignment horizontal="left" vertical="center"/>
    </xf>
    <xf numFmtId="10" fontId="59" fillId="0" borderId="14" xfId="125" applyNumberFormat="1" applyFont="1" applyFill="1" applyBorder="1" applyAlignment="1">
      <alignment vertical="center" shrinkToFit="1"/>
    </xf>
    <xf numFmtId="0" fontId="101" fillId="0" borderId="1" xfId="1" applyFont="1" applyFill="1" applyBorder="1" applyAlignment="1">
      <alignment horizontal="center" vertical="center"/>
    </xf>
    <xf numFmtId="0" fontId="101" fillId="0" borderId="5" xfId="1" applyFont="1" applyFill="1" applyBorder="1" applyAlignment="1">
      <alignment horizontal="center" vertical="center"/>
    </xf>
    <xf numFmtId="0" fontId="65" fillId="0" borderId="5" xfId="1" applyFont="1" applyFill="1" applyBorder="1" applyAlignment="1">
      <alignment horizontal="left" vertical="center" wrapText="1"/>
    </xf>
    <xf numFmtId="0" fontId="65" fillId="0" borderId="5" xfId="1" applyFont="1" applyFill="1" applyBorder="1" applyAlignment="1">
      <alignment horizontal="center" vertical="center" wrapText="1"/>
    </xf>
    <xf numFmtId="4" fontId="65" fillId="0" borderId="5" xfId="1" applyNumberFormat="1" applyFont="1" applyFill="1" applyBorder="1" applyAlignment="1"/>
    <xf numFmtId="0" fontId="47" fillId="0" borderId="1" xfId="1" applyFont="1" applyFill="1" applyBorder="1" applyAlignment="1">
      <alignment horizontal="center" vertical="center"/>
    </xf>
    <xf numFmtId="165" fontId="57" fillId="0" borderId="12" xfId="4" applyNumberFormat="1" applyFont="1" applyFill="1" applyBorder="1" applyAlignment="1">
      <alignment vertical="center" shrinkToFit="1"/>
    </xf>
    <xf numFmtId="10" fontId="59" fillId="0" borderId="12" xfId="4" applyNumberFormat="1" applyFont="1" applyFill="1" applyBorder="1" applyAlignment="1">
      <alignment vertical="center" shrinkToFit="1"/>
    </xf>
    <xf numFmtId="165" fontId="59" fillId="0" borderId="12" xfId="4" applyNumberFormat="1" applyFont="1" applyFill="1" applyBorder="1" applyAlignment="1">
      <alignment horizontal="center" vertical="center" shrinkToFit="1"/>
    </xf>
    <xf numFmtId="10" fontId="59" fillId="0" borderId="12" xfId="125" applyNumberFormat="1" applyFont="1" applyFill="1" applyBorder="1" applyAlignment="1">
      <alignment vertical="center" shrinkToFit="1"/>
    </xf>
    <xf numFmtId="10" fontId="59" fillId="0" borderId="16" xfId="125" applyNumberFormat="1" applyFont="1" applyFill="1" applyBorder="1" applyAlignment="1">
      <alignment vertical="center" shrinkToFit="1"/>
    </xf>
    <xf numFmtId="1" fontId="54" fillId="4" borderId="26" xfId="4" applyNumberFormat="1" applyFont="1" applyFill="1" applyBorder="1" applyAlignment="1">
      <alignment horizontal="center" vertical="center"/>
    </xf>
    <xf numFmtId="0" fontId="55" fillId="0" borderId="0" xfId="110" applyFont="1" applyBorder="1" applyAlignment="1" applyProtection="1">
      <alignment horizontal="left" vertical="center"/>
      <protection locked="0"/>
    </xf>
    <xf numFmtId="0" fontId="56" fillId="0" borderId="27" xfId="110" applyFont="1" applyBorder="1" applyAlignment="1">
      <alignment horizontal="left" vertical="center"/>
    </xf>
    <xf numFmtId="0" fontId="56" fillId="0" borderId="29" xfId="110" applyFont="1" applyBorder="1" applyAlignment="1">
      <alignment vertical="center" wrapText="1"/>
    </xf>
    <xf numFmtId="165" fontId="57" fillId="3" borderId="30" xfId="4" applyNumberFormat="1" applyFont="1" applyFill="1" applyBorder="1" applyAlignment="1">
      <alignment vertical="center" shrinkToFit="1"/>
    </xf>
    <xf numFmtId="165" fontId="57" fillId="3" borderId="28" xfId="4" applyNumberFormat="1" applyFont="1" applyFill="1" applyBorder="1" applyAlignment="1">
      <alignment vertical="center" shrinkToFit="1"/>
    </xf>
    <xf numFmtId="165" fontId="57" fillId="3" borderId="29" xfId="4" applyNumberFormat="1" applyFont="1" applyFill="1" applyBorder="1" applyAlignment="1">
      <alignment vertical="center" shrinkToFit="1"/>
    </xf>
    <xf numFmtId="165" fontId="57" fillId="0" borderId="30" xfId="4" applyNumberFormat="1" applyFont="1" applyFill="1" applyBorder="1" applyAlignment="1">
      <alignment vertical="center" shrinkToFit="1"/>
    </xf>
    <xf numFmtId="165" fontId="57" fillId="0" borderId="28" xfId="4" applyNumberFormat="1" applyFont="1" applyFill="1" applyBorder="1" applyAlignment="1">
      <alignment vertical="center" shrinkToFit="1"/>
    </xf>
    <xf numFmtId="0" fontId="62" fillId="2" borderId="1" xfId="1" applyFont="1" applyFill="1" applyBorder="1" applyAlignment="1">
      <alignment horizontal="center" vertical="center" wrapText="1"/>
    </xf>
    <xf numFmtId="0" fontId="62" fillId="0" borderId="22" xfId="1" applyFont="1" applyFill="1" applyBorder="1" applyAlignment="1">
      <alignment horizontal="center" vertical="center" wrapText="1"/>
    </xf>
    <xf numFmtId="4" fontId="62" fillId="0" borderId="22" xfId="1" applyNumberFormat="1" applyFont="1" applyFill="1" applyBorder="1" applyAlignment="1">
      <alignment horizontal="right" vertical="center" wrapText="1"/>
    </xf>
    <xf numFmtId="0" fontId="47" fillId="0" borderId="31" xfId="1" applyFont="1" applyFill="1" applyBorder="1" applyAlignment="1">
      <alignment vertical="center" wrapText="1"/>
    </xf>
    <xf numFmtId="4" fontId="47" fillId="0" borderId="22" xfId="1" applyNumberFormat="1" applyFont="1" applyFill="1" applyBorder="1" applyAlignment="1">
      <alignment horizontal="right" vertical="center" wrapText="1"/>
    </xf>
    <xf numFmtId="0" fontId="47" fillId="0" borderId="0" xfId="1" applyFont="1" applyFill="1" applyAlignment="1">
      <alignment horizontal="right"/>
    </xf>
    <xf numFmtId="0" fontId="65" fillId="0" borderId="1" xfId="0" applyFont="1" applyFill="1" applyBorder="1" applyAlignment="1">
      <alignment horizontal="left" vertical="center" wrapText="1"/>
    </xf>
    <xf numFmtId="0" fontId="62" fillId="0" borderId="0" xfId="1" applyFont="1" applyFill="1" applyAlignment="1">
      <alignment horizontal="center"/>
    </xf>
    <xf numFmtId="0" fontId="62" fillId="0" borderId="20" xfId="1" applyFont="1" applyFill="1" applyBorder="1" applyAlignment="1">
      <alignment horizontal="center"/>
    </xf>
    <xf numFmtId="0" fontId="62" fillId="0" borderId="20" xfId="2" applyFont="1" applyFill="1" applyBorder="1" applyAlignment="1">
      <alignment horizontal="center" vertical="center"/>
    </xf>
    <xf numFmtId="4" fontId="62" fillId="0" borderId="20" xfId="1" applyNumberFormat="1" applyFont="1" applyFill="1" applyBorder="1" applyAlignment="1"/>
    <xf numFmtId="0" fontId="62" fillId="0" borderId="22" xfId="1" applyFont="1" applyFill="1" applyBorder="1" applyAlignment="1">
      <alignment horizontal="center"/>
    </xf>
    <xf numFmtId="0" fontId="47" fillId="0" borderId="22" xfId="2" applyFont="1" applyFill="1" applyBorder="1" applyAlignment="1" applyProtection="1">
      <alignment vertical="center" wrapText="1"/>
    </xf>
    <xf numFmtId="0" fontId="47" fillId="0" borderId="21" xfId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vertical="center" wrapText="1"/>
    </xf>
    <xf numFmtId="0" fontId="67" fillId="0" borderId="0" xfId="1" applyFont="1" applyFill="1" applyAlignment="1">
      <alignment vertical="center"/>
    </xf>
    <xf numFmtId="0" fontId="47" fillId="0" borderId="18" xfId="11" applyFont="1" applyFill="1" applyBorder="1" applyAlignment="1" applyProtection="1">
      <alignment vertical="center" wrapText="1"/>
    </xf>
    <xf numFmtId="0" fontId="47" fillId="0" borderId="19" xfId="2" applyFont="1" applyFill="1" applyBorder="1" applyAlignment="1">
      <alignment horizontal="center" vertical="center" wrapText="1"/>
    </xf>
    <xf numFmtId="4" fontId="47" fillId="0" borderId="20" xfId="1" applyNumberFormat="1" applyFont="1" applyFill="1" applyBorder="1"/>
    <xf numFmtId="0" fontId="47" fillId="0" borderId="20" xfId="1" applyFont="1" applyFill="1" applyBorder="1"/>
    <xf numFmtId="0" fontId="47" fillId="0" borderId="20" xfId="2" applyFont="1" applyFill="1" applyBorder="1" applyAlignment="1">
      <alignment horizontal="center" vertical="center" wrapText="1"/>
    </xf>
    <xf numFmtId="0" fontId="47" fillId="0" borderId="20" xfId="2" applyFont="1" applyFill="1" applyBorder="1" applyAlignment="1">
      <alignment horizontal="left" vertical="center" wrapText="1"/>
    </xf>
    <xf numFmtId="4" fontId="47" fillId="0" borderId="20" xfId="2" applyNumberFormat="1" applyFont="1" applyFill="1" applyBorder="1" applyAlignment="1"/>
    <xf numFmtId="0" fontId="65" fillId="0" borderId="22" xfId="0" applyFont="1" applyFill="1" applyBorder="1" applyAlignment="1">
      <alignment horizontal="left" vertical="center" wrapText="1"/>
    </xf>
    <xf numFmtId="4" fontId="101" fillId="0" borderId="5" xfId="1" applyNumberFormat="1" applyFont="1" applyFill="1" applyBorder="1" applyAlignment="1"/>
    <xf numFmtId="0" fontId="102" fillId="0" borderId="0" xfId="110" applyFont="1" applyBorder="1" applyProtection="1">
      <protection locked="0"/>
    </xf>
    <xf numFmtId="0" fontId="58" fillId="0" borderId="11" xfId="110" applyFont="1" applyBorder="1" applyAlignment="1">
      <alignment horizontal="left" vertical="center" wrapText="1" indent="1"/>
    </xf>
    <xf numFmtId="0" fontId="58" fillId="0" borderId="11" xfId="110" applyFont="1" applyBorder="1" applyAlignment="1">
      <alignment horizontal="left" vertical="center" wrapText="1" indent="3"/>
    </xf>
    <xf numFmtId="0" fontId="58" fillId="0" borderId="11" xfId="110" applyFont="1" applyBorder="1" applyAlignment="1" applyProtection="1">
      <alignment horizontal="left" vertical="center" wrapText="1" indent="1"/>
      <protection locked="0"/>
    </xf>
    <xf numFmtId="0" fontId="58" fillId="0" borderId="15" xfId="110" applyFont="1" applyBorder="1" applyAlignment="1">
      <alignment horizontal="left" vertical="center" wrapText="1" indent="1"/>
    </xf>
    <xf numFmtId="4" fontId="104" fillId="0" borderId="20" xfId="1" applyNumberFormat="1" applyFont="1" applyFill="1" applyBorder="1"/>
    <xf numFmtId="0" fontId="47" fillId="0" borderId="22" xfId="0" applyFont="1" applyFill="1" applyBorder="1" applyAlignment="1">
      <alignment horizontal="left" vertical="center" wrapText="1"/>
    </xf>
    <xf numFmtId="0" fontId="47" fillId="0" borderId="22" xfId="2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 wrapText="1"/>
    </xf>
    <xf numFmtId="4" fontId="62" fillId="58" borderId="1" xfId="1" applyNumberFormat="1" applyFont="1" applyFill="1" applyBorder="1" applyAlignment="1"/>
    <xf numFmtId="0" fontId="104" fillId="58" borderId="1" xfId="1" applyFont="1" applyFill="1" applyBorder="1" applyAlignment="1">
      <alignment horizontal="center" vertical="center"/>
    </xf>
    <xf numFmtId="0" fontId="104" fillId="58" borderId="2" xfId="1" applyFont="1" applyFill="1" applyBorder="1" applyAlignment="1">
      <alignment horizontal="center" vertical="center"/>
    </xf>
    <xf numFmtId="4" fontId="104" fillId="58" borderId="1" xfId="1" applyNumberFormat="1" applyFont="1" applyFill="1" applyBorder="1" applyAlignment="1"/>
    <xf numFmtId="0" fontId="104" fillId="58" borderId="1" xfId="2" applyFont="1" applyFill="1" applyBorder="1" applyAlignment="1">
      <alignment vertical="center" wrapText="1"/>
    </xf>
    <xf numFmtId="0" fontId="104" fillId="58" borderId="1" xfId="1" applyFont="1" applyFill="1" applyBorder="1" applyAlignment="1">
      <alignment horizontal="center" vertical="center" wrapText="1"/>
    </xf>
    <xf numFmtId="4" fontId="104" fillId="58" borderId="1" xfId="1" applyNumberFormat="1" applyFont="1" applyFill="1" applyBorder="1" applyAlignment="1">
      <alignment horizontal="right"/>
    </xf>
    <xf numFmtId="0" fontId="104" fillId="58" borderId="1" xfId="1" applyFont="1" applyFill="1" applyBorder="1" applyAlignment="1">
      <alignment horizontal="left" vertical="center" wrapText="1"/>
    </xf>
    <xf numFmtId="0" fontId="104" fillId="58" borderId="22" xfId="1" applyFont="1" applyFill="1" applyBorder="1" applyAlignment="1">
      <alignment horizontal="center" vertical="center"/>
    </xf>
    <xf numFmtId="0" fontId="105" fillId="58" borderId="22" xfId="1" applyFont="1" applyFill="1" applyBorder="1" applyAlignment="1">
      <alignment horizontal="center" vertical="center"/>
    </xf>
    <xf numFmtId="4" fontId="104" fillId="58" borderId="22" xfId="1" applyNumberFormat="1" applyFont="1" applyFill="1" applyBorder="1" applyAlignment="1"/>
    <xf numFmtId="0" fontId="105" fillId="58" borderId="22" xfId="1" applyFont="1" applyFill="1" applyBorder="1" applyAlignment="1">
      <alignment horizontal="left" vertical="center" wrapText="1"/>
    </xf>
    <xf numFmtId="0" fontId="105" fillId="58" borderId="22" xfId="1" applyFont="1" applyFill="1" applyBorder="1" applyAlignment="1">
      <alignment horizontal="center" vertical="center" wrapText="1"/>
    </xf>
    <xf numFmtId="0" fontId="53" fillId="0" borderId="0" xfId="110" applyFont="1" applyBorder="1" applyAlignment="1" applyProtection="1">
      <alignment vertical="center"/>
      <protection locked="0"/>
    </xf>
    <xf numFmtId="0" fontId="104" fillId="59" borderId="1" xfId="1" applyFont="1" applyFill="1" applyBorder="1" applyAlignment="1">
      <alignment horizontal="center" vertical="center"/>
    </xf>
    <xf numFmtId="0" fontId="104" fillId="59" borderId="17" xfId="2" applyFont="1" applyFill="1" applyBorder="1" applyAlignment="1">
      <alignment horizontal="center" vertical="center"/>
    </xf>
    <xf numFmtId="4" fontId="104" fillId="59" borderId="1" xfId="1" applyNumberFormat="1" applyFont="1" applyFill="1" applyBorder="1" applyAlignment="1"/>
    <xf numFmtId="0" fontId="104" fillId="59" borderId="17" xfId="2" applyFont="1" applyFill="1" applyBorder="1" applyAlignment="1">
      <alignment horizontal="left" vertical="center" wrapText="1"/>
    </xf>
    <xf numFmtId="0" fontId="104" fillId="59" borderId="17" xfId="2" applyFont="1" applyFill="1" applyBorder="1" applyAlignment="1">
      <alignment horizontal="center" vertical="center" wrapText="1"/>
    </xf>
    <xf numFmtId="4" fontId="104" fillId="59" borderId="17" xfId="2" applyNumberFormat="1" applyFont="1" applyFill="1" applyBorder="1" applyAlignment="1"/>
    <xf numFmtId="0" fontId="54" fillId="0" borderId="8" xfId="110" applyFont="1" applyBorder="1" applyAlignment="1" applyProtection="1">
      <alignment horizontal="center" vertical="center" wrapText="1"/>
      <protection locked="0"/>
    </xf>
    <xf numFmtId="165" fontId="59" fillId="0" borderId="11" xfId="4" applyNumberFormat="1" applyFont="1" applyFill="1" applyBorder="1" applyAlignment="1">
      <alignment vertical="center" shrinkToFit="1"/>
    </xf>
    <xf numFmtId="0" fontId="54" fillId="0" borderId="8" xfId="110" applyFont="1" applyBorder="1" applyAlignment="1" applyProtection="1">
      <alignment horizontal="center" vertical="center" wrapText="1"/>
      <protection locked="0"/>
    </xf>
    <xf numFmtId="0" fontId="52" fillId="0" borderId="0" xfId="3" applyFont="1" applyAlignment="1">
      <alignment horizontal="center"/>
    </xf>
    <xf numFmtId="0" fontId="60" fillId="0" borderId="0" xfId="1" applyFont="1" applyAlignment="1">
      <alignment horizontal="center" vertical="center"/>
    </xf>
    <xf numFmtId="0" fontId="62" fillId="2" borderId="1" xfId="1" applyFont="1" applyFill="1" applyBorder="1" applyAlignment="1">
      <alignment horizontal="center" vertical="center" wrapText="1"/>
    </xf>
    <xf numFmtId="0" fontId="62" fillId="2" borderId="31" xfId="1" applyFont="1" applyFill="1" applyBorder="1" applyAlignment="1">
      <alignment horizontal="center" vertical="center"/>
    </xf>
    <xf numFmtId="0" fontId="62" fillId="2" borderId="32" xfId="1" applyFont="1" applyFill="1" applyBorder="1" applyAlignment="1">
      <alignment horizontal="center" vertical="center"/>
    </xf>
    <xf numFmtId="0" fontId="62" fillId="2" borderId="21" xfId="1" applyFont="1" applyFill="1" applyBorder="1" applyAlignment="1">
      <alignment horizontal="center" vertical="center"/>
    </xf>
    <xf numFmtId="0" fontId="62" fillId="3" borderId="31" xfId="1" applyFont="1" applyFill="1" applyBorder="1" applyAlignment="1">
      <alignment horizontal="left" vertical="center" wrapText="1"/>
    </xf>
    <xf numFmtId="0" fontId="62" fillId="3" borderId="32" xfId="1" applyFont="1" applyFill="1" applyBorder="1" applyAlignment="1">
      <alignment horizontal="left" vertical="center" wrapText="1"/>
    </xf>
    <xf numFmtId="0" fontId="62" fillId="3" borderId="21" xfId="1" applyFont="1" applyFill="1" applyBorder="1" applyAlignment="1">
      <alignment horizontal="left" vertical="center" wrapText="1"/>
    </xf>
    <xf numFmtId="0" fontId="62" fillId="3" borderId="1" xfId="1" applyFont="1" applyFill="1" applyBorder="1" applyAlignment="1">
      <alignment horizontal="left" vertical="center" wrapText="1"/>
    </xf>
    <xf numFmtId="0" fontId="57" fillId="0" borderId="8" xfId="110" applyFont="1" applyBorder="1" applyAlignment="1" applyProtection="1">
      <alignment horizontal="center" vertical="center" wrapText="1"/>
      <protection locked="0"/>
    </xf>
    <xf numFmtId="0" fontId="58" fillId="0" borderId="9" xfId="110" applyFont="1" applyFill="1" applyBorder="1" applyAlignment="1">
      <alignment horizontal="left" vertical="center"/>
    </xf>
    <xf numFmtId="0" fontId="58" fillId="0" borderId="11" xfId="110" quotePrefix="1" applyFont="1" applyFill="1" applyBorder="1" applyAlignment="1">
      <alignment horizontal="left" vertical="center" wrapText="1" indent="1"/>
    </xf>
    <xf numFmtId="0" fontId="48" fillId="0" borderId="0" xfId="110" applyFill="1"/>
    <xf numFmtId="0" fontId="58" fillId="0" borderId="11" xfId="110" applyFont="1" applyFill="1" applyBorder="1" applyAlignment="1">
      <alignment horizontal="left" vertical="center" wrapText="1" indent="2"/>
    </xf>
    <xf numFmtId="0" fontId="58" fillId="0" borderId="11" xfId="110" applyFont="1" applyFill="1" applyBorder="1" applyAlignment="1">
      <alignment horizontal="left" vertical="center" wrapText="1" indent="1"/>
    </xf>
  </cellXfs>
  <cellStyles count="156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19-11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2">
          <cell r="N2">
            <v>2033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2033</v>
          </cell>
        </row>
      </sheetData>
      <sheetData sheetId="5">
        <row r="1">
          <cell r="D1" t="str">
            <v>2020-09-01a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11"/>
  <sheetViews>
    <sheetView tabSelected="1" view="pageBreakPreview" zoomScaleNormal="118" zoomScaleSheetLayoutView="100" workbookViewId="0">
      <pane xSplit="2" ySplit="3" topLeftCell="C5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K107" sqref="K107"/>
    </sheetView>
  </sheetViews>
  <sheetFormatPr defaultRowHeight="14.25"/>
  <cols>
    <col min="1" max="1" width="7.5703125" style="121" customWidth="1"/>
    <col min="2" max="2" width="37.85546875" style="121" customWidth="1"/>
    <col min="3" max="20" width="10.7109375" style="121" customWidth="1"/>
    <col min="21" max="221" width="9.140625" style="120"/>
    <col min="222" max="223" width="4.85546875" style="120" customWidth="1"/>
    <col min="224" max="224" width="7.5703125" style="120" customWidth="1"/>
    <col min="225" max="225" width="0" style="120" hidden="1" customWidth="1"/>
    <col min="226" max="226" width="63.7109375" style="120" customWidth="1"/>
    <col min="227" max="230" width="0" style="120" hidden="1" customWidth="1"/>
    <col min="231" max="270" width="16" style="120" customWidth="1"/>
    <col min="271" max="477" width="9.140625" style="120"/>
    <col min="478" max="479" width="4.85546875" style="120" customWidth="1"/>
    <col min="480" max="480" width="7.5703125" style="120" customWidth="1"/>
    <col min="481" max="481" width="0" style="120" hidden="1" customWidth="1"/>
    <col min="482" max="482" width="63.7109375" style="120" customWidth="1"/>
    <col min="483" max="486" width="0" style="120" hidden="1" customWidth="1"/>
    <col min="487" max="526" width="16" style="120" customWidth="1"/>
    <col min="527" max="733" width="9.140625" style="120"/>
    <col min="734" max="735" width="4.85546875" style="120" customWidth="1"/>
    <col min="736" max="736" width="7.5703125" style="120" customWidth="1"/>
    <col min="737" max="737" width="0" style="120" hidden="1" customWidth="1"/>
    <col min="738" max="738" width="63.7109375" style="120" customWidth="1"/>
    <col min="739" max="742" width="0" style="120" hidden="1" customWidth="1"/>
    <col min="743" max="782" width="16" style="120" customWidth="1"/>
    <col min="783" max="989" width="9.140625" style="120"/>
    <col min="990" max="991" width="4.85546875" style="120" customWidth="1"/>
    <col min="992" max="992" width="7.5703125" style="120" customWidth="1"/>
    <col min="993" max="993" width="0" style="120" hidden="1" customWidth="1"/>
    <col min="994" max="994" width="63.7109375" style="120" customWidth="1"/>
    <col min="995" max="998" width="0" style="120" hidden="1" customWidth="1"/>
    <col min="999" max="1038" width="16" style="120" customWidth="1"/>
    <col min="1039" max="1245" width="9.140625" style="120"/>
    <col min="1246" max="1247" width="4.85546875" style="120" customWidth="1"/>
    <col min="1248" max="1248" width="7.5703125" style="120" customWidth="1"/>
    <col min="1249" max="1249" width="0" style="120" hidden="1" customWidth="1"/>
    <col min="1250" max="1250" width="63.7109375" style="120" customWidth="1"/>
    <col min="1251" max="1254" width="0" style="120" hidden="1" customWidth="1"/>
    <col min="1255" max="1294" width="16" style="120" customWidth="1"/>
    <col min="1295" max="1501" width="9.140625" style="120"/>
    <col min="1502" max="1503" width="4.85546875" style="120" customWidth="1"/>
    <col min="1504" max="1504" width="7.5703125" style="120" customWidth="1"/>
    <col min="1505" max="1505" width="0" style="120" hidden="1" customWidth="1"/>
    <col min="1506" max="1506" width="63.7109375" style="120" customWidth="1"/>
    <col min="1507" max="1510" width="0" style="120" hidden="1" customWidth="1"/>
    <col min="1511" max="1550" width="16" style="120" customWidth="1"/>
    <col min="1551" max="1757" width="9.140625" style="120"/>
    <col min="1758" max="1759" width="4.85546875" style="120" customWidth="1"/>
    <col min="1760" max="1760" width="7.5703125" style="120" customWidth="1"/>
    <col min="1761" max="1761" width="0" style="120" hidden="1" customWidth="1"/>
    <col min="1762" max="1762" width="63.7109375" style="120" customWidth="1"/>
    <col min="1763" max="1766" width="0" style="120" hidden="1" customWidth="1"/>
    <col min="1767" max="1806" width="16" style="120" customWidth="1"/>
    <col min="1807" max="2013" width="9.140625" style="120"/>
    <col min="2014" max="2015" width="4.85546875" style="120" customWidth="1"/>
    <col min="2016" max="2016" width="7.5703125" style="120" customWidth="1"/>
    <col min="2017" max="2017" width="0" style="120" hidden="1" customWidth="1"/>
    <col min="2018" max="2018" width="63.7109375" style="120" customWidth="1"/>
    <col min="2019" max="2022" width="0" style="120" hidden="1" customWidth="1"/>
    <col min="2023" max="2062" width="16" style="120" customWidth="1"/>
    <col min="2063" max="2269" width="9.140625" style="120"/>
    <col min="2270" max="2271" width="4.85546875" style="120" customWidth="1"/>
    <col min="2272" max="2272" width="7.5703125" style="120" customWidth="1"/>
    <col min="2273" max="2273" width="0" style="120" hidden="1" customWidth="1"/>
    <col min="2274" max="2274" width="63.7109375" style="120" customWidth="1"/>
    <col min="2275" max="2278" width="0" style="120" hidden="1" customWidth="1"/>
    <col min="2279" max="2318" width="16" style="120" customWidth="1"/>
    <col min="2319" max="2525" width="9.140625" style="120"/>
    <col min="2526" max="2527" width="4.85546875" style="120" customWidth="1"/>
    <col min="2528" max="2528" width="7.5703125" style="120" customWidth="1"/>
    <col min="2529" max="2529" width="0" style="120" hidden="1" customWidth="1"/>
    <col min="2530" max="2530" width="63.7109375" style="120" customWidth="1"/>
    <col min="2531" max="2534" width="0" style="120" hidden="1" customWidth="1"/>
    <col min="2535" max="2574" width="16" style="120" customWidth="1"/>
    <col min="2575" max="2781" width="9.140625" style="120"/>
    <col min="2782" max="2783" width="4.85546875" style="120" customWidth="1"/>
    <col min="2784" max="2784" width="7.5703125" style="120" customWidth="1"/>
    <col min="2785" max="2785" width="0" style="120" hidden="1" customWidth="1"/>
    <col min="2786" max="2786" width="63.7109375" style="120" customWidth="1"/>
    <col min="2787" max="2790" width="0" style="120" hidden="1" customWidth="1"/>
    <col min="2791" max="2830" width="16" style="120" customWidth="1"/>
    <col min="2831" max="3037" width="9.140625" style="120"/>
    <col min="3038" max="3039" width="4.85546875" style="120" customWidth="1"/>
    <col min="3040" max="3040" width="7.5703125" style="120" customWidth="1"/>
    <col min="3041" max="3041" width="0" style="120" hidden="1" customWidth="1"/>
    <col min="3042" max="3042" width="63.7109375" style="120" customWidth="1"/>
    <col min="3043" max="3046" width="0" style="120" hidden="1" customWidth="1"/>
    <col min="3047" max="3086" width="16" style="120" customWidth="1"/>
    <col min="3087" max="3293" width="9.140625" style="120"/>
    <col min="3294" max="3295" width="4.85546875" style="120" customWidth="1"/>
    <col min="3296" max="3296" width="7.5703125" style="120" customWidth="1"/>
    <col min="3297" max="3297" width="0" style="120" hidden="1" customWidth="1"/>
    <col min="3298" max="3298" width="63.7109375" style="120" customWidth="1"/>
    <col min="3299" max="3302" width="0" style="120" hidden="1" customWidth="1"/>
    <col min="3303" max="3342" width="16" style="120" customWidth="1"/>
    <col min="3343" max="3549" width="9.140625" style="120"/>
    <col min="3550" max="3551" width="4.85546875" style="120" customWidth="1"/>
    <col min="3552" max="3552" width="7.5703125" style="120" customWidth="1"/>
    <col min="3553" max="3553" width="0" style="120" hidden="1" customWidth="1"/>
    <col min="3554" max="3554" width="63.7109375" style="120" customWidth="1"/>
    <col min="3555" max="3558" width="0" style="120" hidden="1" customWidth="1"/>
    <col min="3559" max="3598" width="16" style="120" customWidth="1"/>
    <col min="3599" max="3805" width="9.140625" style="120"/>
    <col min="3806" max="3807" width="4.85546875" style="120" customWidth="1"/>
    <col min="3808" max="3808" width="7.5703125" style="120" customWidth="1"/>
    <col min="3809" max="3809" width="0" style="120" hidden="1" customWidth="1"/>
    <col min="3810" max="3810" width="63.7109375" style="120" customWidth="1"/>
    <col min="3811" max="3814" width="0" style="120" hidden="1" customWidth="1"/>
    <col min="3815" max="3854" width="16" style="120" customWidth="1"/>
    <col min="3855" max="4061" width="9.140625" style="120"/>
    <col min="4062" max="4063" width="4.85546875" style="120" customWidth="1"/>
    <col min="4064" max="4064" width="7.5703125" style="120" customWidth="1"/>
    <col min="4065" max="4065" width="0" style="120" hidden="1" customWidth="1"/>
    <col min="4066" max="4066" width="63.7109375" style="120" customWidth="1"/>
    <col min="4067" max="4070" width="0" style="120" hidden="1" customWidth="1"/>
    <col min="4071" max="4110" width="16" style="120" customWidth="1"/>
    <col min="4111" max="4317" width="9.140625" style="120"/>
    <col min="4318" max="4319" width="4.85546875" style="120" customWidth="1"/>
    <col min="4320" max="4320" width="7.5703125" style="120" customWidth="1"/>
    <col min="4321" max="4321" width="0" style="120" hidden="1" customWidth="1"/>
    <col min="4322" max="4322" width="63.7109375" style="120" customWidth="1"/>
    <col min="4323" max="4326" width="0" style="120" hidden="1" customWidth="1"/>
    <col min="4327" max="4366" width="16" style="120" customWidth="1"/>
    <col min="4367" max="4573" width="9.140625" style="120"/>
    <col min="4574" max="4575" width="4.85546875" style="120" customWidth="1"/>
    <col min="4576" max="4576" width="7.5703125" style="120" customWidth="1"/>
    <col min="4577" max="4577" width="0" style="120" hidden="1" customWidth="1"/>
    <col min="4578" max="4578" width="63.7109375" style="120" customWidth="1"/>
    <col min="4579" max="4582" width="0" style="120" hidden="1" customWidth="1"/>
    <col min="4583" max="4622" width="16" style="120" customWidth="1"/>
    <col min="4623" max="4829" width="9.140625" style="120"/>
    <col min="4830" max="4831" width="4.85546875" style="120" customWidth="1"/>
    <col min="4832" max="4832" width="7.5703125" style="120" customWidth="1"/>
    <col min="4833" max="4833" width="0" style="120" hidden="1" customWidth="1"/>
    <col min="4834" max="4834" width="63.7109375" style="120" customWidth="1"/>
    <col min="4835" max="4838" width="0" style="120" hidden="1" customWidth="1"/>
    <col min="4839" max="4878" width="16" style="120" customWidth="1"/>
    <col min="4879" max="5085" width="9.140625" style="120"/>
    <col min="5086" max="5087" width="4.85546875" style="120" customWidth="1"/>
    <col min="5088" max="5088" width="7.5703125" style="120" customWidth="1"/>
    <col min="5089" max="5089" width="0" style="120" hidden="1" customWidth="1"/>
    <col min="5090" max="5090" width="63.7109375" style="120" customWidth="1"/>
    <col min="5091" max="5094" width="0" style="120" hidden="1" customWidth="1"/>
    <col min="5095" max="5134" width="16" style="120" customWidth="1"/>
    <col min="5135" max="5341" width="9.140625" style="120"/>
    <col min="5342" max="5343" width="4.85546875" style="120" customWidth="1"/>
    <col min="5344" max="5344" width="7.5703125" style="120" customWidth="1"/>
    <col min="5345" max="5345" width="0" style="120" hidden="1" customWidth="1"/>
    <col min="5346" max="5346" width="63.7109375" style="120" customWidth="1"/>
    <col min="5347" max="5350" width="0" style="120" hidden="1" customWidth="1"/>
    <col min="5351" max="5390" width="16" style="120" customWidth="1"/>
    <col min="5391" max="5597" width="9.140625" style="120"/>
    <col min="5598" max="5599" width="4.85546875" style="120" customWidth="1"/>
    <col min="5600" max="5600" width="7.5703125" style="120" customWidth="1"/>
    <col min="5601" max="5601" width="0" style="120" hidden="1" customWidth="1"/>
    <col min="5602" max="5602" width="63.7109375" style="120" customWidth="1"/>
    <col min="5603" max="5606" width="0" style="120" hidden="1" customWidth="1"/>
    <col min="5607" max="5646" width="16" style="120" customWidth="1"/>
    <col min="5647" max="5853" width="9.140625" style="120"/>
    <col min="5854" max="5855" width="4.85546875" style="120" customWidth="1"/>
    <col min="5856" max="5856" width="7.5703125" style="120" customWidth="1"/>
    <col min="5857" max="5857" width="0" style="120" hidden="1" customWidth="1"/>
    <col min="5858" max="5858" width="63.7109375" style="120" customWidth="1"/>
    <col min="5859" max="5862" width="0" style="120" hidden="1" customWidth="1"/>
    <col min="5863" max="5902" width="16" style="120" customWidth="1"/>
    <col min="5903" max="6109" width="9.140625" style="120"/>
    <col min="6110" max="6111" width="4.85546875" style="120" customWidth="1"/>
    <col min="6112" max="6112" width="7.5703125" style="120" customWidth="1"/>
    <col min="6113" max="6113" width="0" style="120" hidden="1" customWidth="1"/>
    <col min="6114" max="6114" width="63.7109375" style="120" customWidth="1"/>
    <col min="6115" max="6118" width="0" style="120" hidden="1" customWidth="1"/>
    <col min="6119" max="6158" width="16" style="120" customWidth="1"/>
    <col min="6159" max="6365" width="9.140625" style="120"/>
    <col min="6366" max="6367" width="4.85546875" style="120" customWidth="1"/>
    <col min="6368" max="6368" width="7.5703125" style="120" customWidth="1"/>
    <col min="6369" max="6369" width="0" style="120" hidden="1" customWidth="1"/>
    <col min="6370" max="6370" width="63.7109375" style="120" customWidth="1"/>
    <col min="6371" max="6374" width="0" style="120" hidden="1" customWidth="1"/>
    <col min="6375" max="6414" width="16" style="120" customWidth="1"/>
    <col min="6415" max="6621" width="9.140625" style="120"/>
    <col min="6622" max="6623" width="4.85546875" style="120" customWidth="1"/>
    <col min="6624" max="6624" width="7.5703125" style="120" customWidth="1"/>
    <col min="6625" max="6625" width="0" style="120" hidden="1" customWidth="1"/>
    <col min="6626" max="6626" width="63.7109375" style="120" customWidth="1"/>
    <col min="6627" max="6630" width="0" style="120" hidden="1" customWidth="1"/>
    <col min="6631" max="6670" width="16" style="120" customWidth="1"/>
    <col min="6671" max="6877" width="9.140625" style="120"/>
    <col min="6878" max="6879" width="4.85546875" style="120" customWidth="1"/>
    <col min="6880" max="6880" width="7.5703125" style="120" customWidth="1"/>
    <col min="6881" max="6881" width="0" style="120" hidden="1" customWidth="1"/>
    <col min="6882" max="6882" width="63.7109375" style="120" customWidth="1"/>
    <col min="6883" max="6886" width="0" style="120" hidden="1" customWidth="1"/>
    <col min="6887" max="6926" width="16" style="120" customWidth="1"/>
    <col min="6927" max="7133" width="9.140625" style="120"/>
    <col min="7134" max="7135" width="4.85546875" style="120" customWidth="1"/>
    <col min="7136" max="7136" width="7.5703125" style="120" customWidth="1"/>
    <col min="7137" max="7137" width="0" style="120" hidden="1" customWidth="1"/>
    <col min="7138" max="7138" width="63.7109375" style="120" customWidth="1"/>
    <col min="7139" max="7142" width="0" style="120" hidden="1" customWidth="1"/>
    <col min="7143" max="7182" width="16" style="120" customWidth="1"/>
    <col min="7183" max="7389" width="9.140625" style="120"/>
    <col min="7390" max="7391" width="4.85546875" style="120" customWidth="1"/>
    <col min="7392" max="7392" width="7.5703125" style="120" customWidth="1"/>
    <col min="7393" max="7393" width="0" style="120" hidden="1" customWidth="1"/>
    <col min="7394" max="7394" width="63.7109375" style="120" customWidth="1"/>
    <col min="7395" max="7398" width="0" style="120" hidden="1" customWidth="1"/>
    <col min="7399" max="7438" width="16" style="120" customWidth="1"/>
    <col min="7439" max="7645" width="9.140625" style="120"/>
    <col min="7646" max="7647" width="4.85546875" style="120" customWidth="1"/>
    <col min="7648" max="7648" width="7.5703125" style="120" customWidth="1"/>
    <col min="7649" max="7649" width="0" style="120" hidden="1" customWidth="1"/>
    <col min="7650" max="7650" width="63.7109375" style="120" customWidth="1"/>
    <col min="7651" max="7654" width="0" style="120" hidden="1" customWidth="1"/>
    <col min="7655" max="7694" width="16" style="120" customWidth="1"/>
    <col min="7695" max="7901" width="9.140625" style="120"/>
    <col min="7902" max="7903" width="4.85546875" style="120" customWidth="1"/>
    <col min="7904" max="7904" width="7.5703125" style="120" customWidth="1"/>
    <col min="7905" max="7905" width="0" style="120" hidden="1" customWidth="1"/>
    <col min="7906" max="7906" width="63.7109375" style="120" customWidth="1"/>
    <col min="7907" max="7910" width="0" style="120" hidden="1" customWidth="1"/>
    <col min="7911" max="7950" width="16" style="120" customWidth="1"/>
    <col min="7951" max="8157" width="9.140625" style="120"/>
    <col min="8158" max="8159" width="4.85546875" style="120" customWidth="1"/>
    <col min="8160" max="8160" width="7.5703125" style="120" customWidth="1"/>
    <col min="8161" max="8161" width="0" style="120" hidden="1" customWidth="1"/>
    <col min="8162" max="8162" width="63.7109375" style="120" customWidth="1"/>
    <col min="8163" max="8166" width="0" style="120" hidden="1" customWidth="1"/>
    <col min="8167" max="8206" width="16" style="120" customWidth="1"/>
    <col min="8207" max="8413" width="9.140625" style="120"/>
    <col min="8414" max="8415" width="4.85546875" style="120" customWidth="1"/>
    <col min="8416" max="8416" width="7.5703125" style="120" customWidth="1"/>
    <col min="8417" max="8417" width="0" style="120" hidden="1" customWidth="1"/>
    <col min="8418" max="8418" width="63.7109375" style="120" customWidth="1"/>
    <col min="8419" max="8422" width="0" style="120" hidden="1" customWidth="1"/>
    <col min="8423" max="8462" width="16" style="120" customWidth="1"/>
    <col min="8463" max="8669" width="9.140625" style="120"/>
    <col min="8670" max="8671" width="4.85546875" style="120" customWidth="1"/>
    <col min="8672" max="8672" width="7.5703125" style="120" customWidth="1"/>
    <col min="8673" max="8673" width="0" style="120" hidden="1" customWidth="1"/>
    <col min="8674" max="8674" width="63.7109375" style="120" customWidth="1"/>
    <col min="8675" max="8678" width="0" style="120" hidden="1" customWidth="1"/>
    <col min="8679" max="8718" width="16" style="120" customWidth="1"/>
    <col min="8719" max="8925" width="9.140625" style="120"/>
    <col min="8926" max="8927" width="4.85546875" style="120" customWidth="1"/>
    <col min="8928" max="8928" width="7.5703125" style="120" customWidth="1"/>
    <col min="8929" max="8929" width="0" style="120" hidden="1" customWidth="1"/>
    <col min="8930" max="8930" width="63.7109375" style="120" customWidth="1"/>
    <col min="8931" max="8934" width="0" style="120" hidden="1" customWidth="1"/>
    <col min="8935" max="8974" width="16" style="120" customWidth="1"/>
    <col min="8975" max="9181" width="9.140625" style="120"/>
    <col min="9182" max="9183" width="4.85546875" style="120" customWidth="1"/>
    <col min="9184" max="9184" width="7.5703125" style="120" customWidth="1"/>
    <col min="9185" max="9185" width="0" style="120" hidden="1" customWidth="1"/>
    <col min="9186" max="9186" width="63.7109375" style="120" customWidth="1"/>
    <col min="9187" max="9190" width="0" style="120" hidden="1" customWidth="1"/>
    <col min="9191" max="9230" width="16" style="120" customWidth="1"/>
    <col min="9231" max="9437" width="9.140625" style="120"/>
    <col min="9438" max="9439" width="4.85546875" style="120" customWidth="1"/>
    <col min="9440" max="9440" width="7.5703125" style="120" customWidth="1"/>
    <col min="9441" max="9441" width="0" style="120" hidden="1" customWidth="1"/>
    <col min="9442" max="9442" width="63.7109375" style="120" customWidth="1"/>
    <col min="9443" max="9446" width="0" style="120" hidden="1" customWidth="1"/>
    <col min="9447" max="9486" width="16" style="120" customWidth="1"/>
    <col min="9487" max="9693" width="9.140625" style="120"/>
    <col min="9694" max="9695" width="4.85546875" style="120" customWidth="1"/>
    <col min="9696" max="9696" width="7.5703125" style="120" customWidth="1"/>
    <col min="9697" max="9697" width="0" style="120" hidden="1" customWidth="1"/>
    <col min="9698" max="9698" width="63.7109375" style="120" customWidth="1"/>
    <col min="9699" max="9702" width="0" style="120" hidden="1" customWidth="1"/>
    <col min="9703" max="9742" width="16" style="120" customWidth="1"/>
    <col min="9743" max="9949" width="9.140625" style="120"/>
    <col min="9950" max="9951" width="4.85546875" style="120" customWidth="1"/>
    <col min="9952" max="9952" width="7.5703125" style="120" customWidth="1"/>
    <col min="9953" max="9953" width="0" style="120" hidden="1" customWidth="1"/>
    <col min="9954" max="9954" width="63.7109375" style="120" customWidth="1"/>
    <col min="9955" max="9958" width="0" style="120" hidden="1" customWidth="1"/>
    <col min="9959" max="9998" width="16" style="120" customWidth="1"/>
    <col min="9999" max="10205" width="9.140625" style="120"/>
    <col min="10206" max="10207" width="4.85546875" style="120" customWidth="1"/>
    <col min="10208" max="10208" width="7.5703125" style="120" customWidth="1"/>
    <col min="10209" max="10209" width="0" style="120" hidden="1" customWidth="1"/>
    <col min="10210" max="10210" width="63.7109375" style="120" customWidth="1"/>
    <col min="10211" max="10214" width="0" style="120" hidden="1" customWidth="1"/>
    <col min="10215" max="10254" width="16" style="120" customWidth="1"/>
    <col min="10255" max="10461" width="9.140625" style="120"/>
    <col min="10462" max="10463" width="4.85546875" style="120" customWidth="1"/>
    <col min="10464" max="10464" width="7.5703125" style="120" customWidth="1"/>
    <col min="10465" max="10465" width="0" style="120" hidden="1" customWidth="1"/>
    <col min="10466" max="10466" width="63.7109375" style="120" customWidth="1"/>
    <col min="10467" max="10470" width="0" style="120" hidden="1" customWidth="1"/>
    <col min="10471" max="10510" width="16" style="120" customWidth="1"/>
    <col min="10511" max="10717" width="9.140625" style="120"/>
    <col min="10718" max="10719" width="4.85546875" style="120" customWidth="1"/>
    <col min="10720" max="10720" width="7.5703125" style="120" customWidth="1"/>
    <col min="10721" max="10721" width="0" style="120" hidden="1" customWidth="1"/>
    <col min="10722" max="10722" width="63.7109375" style="120" customWidth="1"/>
    <col min="10723" max="10726" width="0" style="120" hidden="1" customWidth="1"/>
    <col min="10727" max="10766" width="16" style="120" customWidth="1"/>
    <col min="10767" max="10973" width="9.140625" style="120"/>
    <col min="10974" max="10975" width="4.85546875" style="120" customWidth="1"/>
    <col min="10976" max="10976" width="7.5703125" style="120" customWidth="1"/>
    <col min="10977" max="10977" width="0" style="120" hidden="1" customWidth="1"/>
    <col min="10978" max="10978" width="63.7109375" style="120" customWidth="1"/>
    <col min="10979" max="10982" width="0" style="120" hidden="1" customWidth="1"/>
    <col min="10983" max="11022" width="16" style="120" customWidth="1"/>
    <col min="11023" max="11229" width="9.140625" style="120"/>
    <col min="11230" max="11231" width="4.85546875" style="120" customWidth="1"/>
    <col min="11232" max="11232" width="7.5703125" style="120" customWidth="1"/>
    <col min="11233" max="11233" width="0" style="120" hidden="1" customWidth="1"/>
    <col min="11234" max="11234" width="63.7109375" style="120" customWidth="1"/>
    <col min="11235" max="11238" width="0" style="120" hidden="1" customWidth="1"/>
    <col min="11239" max="11278" width="16" style="120" customWidth="1"/>
    <col min="11279" max="11485" width="9.140625" style="120"/>
    <col min="11486" max="11487" width="4.85546875" style="120" customWidth="1"/>
    <col min="11488" max="11488" width="7.5703125" style="120" customWidth="1"/>
    <col min="11489" max="11489" width="0" style="120" hidden="1" customWidth="1"/>
    <col min="11490" max="11490" width="63.7109375" style="120" customWidth="1"/>
    <col min="11491" max="11494" width="0" style="120" hidden="1" customWidth="1"/>
    <col min="11495" max="11534" width="16" style="120" customWidth="1"/>
    <col min="11535" max="11741" width="9.140625" style="120"/>
    <col min="11742" max="11743" width="4.85546875" style="120" customWidth="1"/>
    <col min="11744" max="11744" width="7.5703125" style="120" customWidth="1"/>
    <col min="11745" max="11745" width="0" style="120" hidden="1" customWidth="1"/>
    <col min="11746" max="11746" width="63.7109375" style="120" customWidth="1"/>
    <col min="11747" max="11750" width="0" style="120" hidden="1" customWidth="1"/>
    <col min="11751" max="11790" width="16" style="120" customWidth="1"/>
    <col min="11791" max="11997" width="9.140625" style="120"/>
    <col min="11998" max="11999" width="4.85546875" style="120" customWidth="1"/>
    <col min="12000" max="12000" width="7.5703125" style="120" customWidth="1"/>
    <col min="12001" max="12001" width="0" style="120" hidden="1" customWidth="1"/>
    <col min="12002" max="12002" width="63.7109375" style="120" customWidth="1"/>
    <col min="12003" max="12006" width="0" style="120" hidden="1" customWidth="1"/>
    <col min="12007" max="12046" width="16" style="120" customWidth="1"/>
    <col min="12047" max="12253" width="9.140625" style="120"/>
    <col min="12254" max="12255" width="4.85546875" style="120" customWidth="1"/>
    <col min="12256" max="12256" width="7.5703125" style="120" customWidth="1"/>
    <col min="12257" max="12257" width="0" style="120" hidden="1" customWidth="1"/>
    <col min="12258" max="12258" width="63.7109375" style="120" customWidth="1"/>
    <col min="12259" max="12262" width="0" style="120" hidden="1" customWidth="1"/>
    <col min="12263" max="12302" width="16" style="120" customWidth="1"/>
    <col min="12303" max="12509" width="9.140625" style="120"/>
    <col min="12510" max="12511" width="4.85546875" style="120" customWidth="1"/>
    <col min="12512" max="12512" width="7.5703125" style="120" customWidth="1"/>
    <col min="12513" max="12513" width="0" style="120" hidden="1" customWidth="1"/>
    <col min="12514" max="12514" width="63.7109375" style="120" customWidth="1"/>
    <col min="12515" max="12518" width="0" style="120" hidden="1" customWidth="1"/>
    <col min="12519" max="12558" width="16" style="120" customWidth="1"/>
    <col min="12559" max="12765" width="9.140625" style="120"/>
    <col min="12766" max="12767" width="4.85546875" style="120" customWidth="1"/>
    <col min="12768" max="12768" width="7.5703125" style="120" customWidth="1"/>
    <col min="12769" max="12769" width="0" style="120" hidden="1" customWidth="1"/>
    <col min="12770" max="12770" width="63.7109375" style="120" customWidth="1"/>
    <col min="12771" max="12774" width="0" style="120" hidden="1" customWidth="1"/>
    <col min="12775" max="12814" width="16" style="120" customWidth="1"/>
    <col min="12815" max="13021" width="9.140625" style="120"/>
    <col min="13022" max="13023" width="4.85546875" style="120" customWidth="1"/>
    <col min="13024" max="13024" width="7.5703125" style="120" customWidth="1"/>
    <col min="13025" max="13025" width="0" style="120" hidden="1" customWidth="1"/>
    <col min="13026" max="13026" width="63.7109375" style="120" customWidth="1"/>
    <col min="13027" max="13030" width="0" style="120" hidden="1" customWidth="1"/>
    <col min="13031" max="13070" width="16" style="120" customWidth="1"/>
    <col min="13071" max="13277" width="9.140625" style="120"/>
    <col min="13278" max="13279" width="4.85546875" style="120" customWidth="1"/>
    <col min="13280" max="13280" width="7.5703125" style="120" customWidth="1"/>
    <col min="13281" max="13281" width="0" style="120" hidden="1" customWidth="1"/>
    <col min="13282" max="13282" width="63.7109375" style="120" customWidth="1"/>
    <col min="13283" max="13286" width="0" style="120" hidden="1" customWidth="1"/>
    <col min="13287" max="13326" width="16" style="120" customWidth="1"/>
    <col min="13327" max="13533" width="9.140625" style="120"/>
    <col min="13534" max="13535" width="4.85546875" style="120" customWidth="1"/>
    <col min="13536" max="13536" width="7.5703125" style="120" customWidth="1"/>
    <col min="13537" max="13537" width="0" style="120" hidden="1" customWidth="1"/>
    <col min="13538" max="13538" width="63.7109375" style="120" customWidth="1"/>
    <col min="13539" max="13542" width="0" style="120" hidden="1" customWidth="1"/>
    <col min="13543" max="13582" width="16" style="120" customWidth="1"/>
    <col min="13583" max="13789" width="9.140625" style="120"/>
    <col min="13790" max="13791" width="4.85546875" style="120" customWidth="1"/>
    <col min="13792" max="13792" width="7.5703125" style="120" customWidth="1"/>
    <col min="13793" max="13793" width="0" style="120" hidden="1" customWidth="1"/>
    <col min="13794" max="13794" width="63.7109375" style="120" customWidth="1"/>
    <col min="13795" max="13798" width="0" style="120" hidden="1" customWidth="1"/>
    <col min="13799" max="13838" width="16" style="120" customWidth="1"/>
    <col min="13839" max="14045" width="9.140625" style="120"/>
    <col min="14046" max="14047" width="4.85546875" style="120" customWidth="1"/>
    <col min="14048" max="14048" width="7.5703125" style="120" customWidth="1"/>
    <col min="14049" max="14049" width="0" style="120" hidden="1" customWidth="1"/>
    <col min="14050" max="14050" width="63.7109375" style="120" customWidth="1"/>
    <col min="14051" max="14054" width="0" style="120" hidden="1" customWidth="1"/>
    <col min="14055" max="14094" width="16" style="120" customWidth="1"/>
    <col min="14095" max="14301" width="9.140625" style="120"/>
    <col min="14302" max="14303" width="4.85546875" style="120" customWidth="1"/>
    <col min="14304" max="14304" width="7.5703125" style="120" customWidth="1"/>
    <col min="14305" max="14305" width="0" style="120" hidden="1" customWidth="1"/>
    <col min="14306" max="14306" width="63.7109375" style="120" customWidth="1"/>
    <col min="14307" max="14310" width="0" style="120" hidden="1" customWidth="1"/>
    <col min="14311" max="14350" width="16" style="120" customWidth="1"/>
    <col min="14351" max="14557" width="9.140625" style="120"/>
    <col min="14558" max="14559" width="4.85546875" style="120" customWidth="1"/>
    <col min="14560" max="14560" width="7.5703125" style="120" customWidth="1"/>
    <col min="14561" max="14561" width="0" style="120" hidden="1" customWidth="1"/>
    <col min="14562" max="14562" width="63.7109375" style="120" customWidth="1"/>
    <col min="14563" max="14566" width="0" style="120" hidden="1" customWidth="1"/>
    <col min="14567" max="14606" width="16" style="120" customWidth="1"/>
    <col min="14607" max="14813" width="9.140625" style="120"/>
    <col min="14814" max="14815" width="4.85546875" style="120" customWidth="1"/>
    <col min="14816" max="14816" width="7.5703125" style="120" customWidth="1"/>
    <col min="14817" max="14817" width="0" style="120" hidden="1" customWidth="1"/>
    <col min="14818" max="14818" width="63.7109375" style="120" customWidth="1"/>
    <col min="14819" max="14822" width="0" style="120" hidden="1" customWidth="1"/>
    <col min="14823" max="14862" width="16" style="120" customWidth="1"/>
    <col min="14863" max="15069" width="9.140625" style="120"/>
    <col min="15070" max="15071" width="4.85546875" style="120" customWidth="1"/>
    <col min="15072" max="15072" width="7.5703125" style="120" customWidth="1"/>
    <col min="15073" max="15073" width="0" style="120" hidden="1" customWidth="1"/>
    <col min="15074" max="15074" width="63.7109375" style="120" customWidth="1"/>
    <col min="15075" max="15078" width="0" style="120" hidden="1" customWidth="1"/>
    <col min="15079" max="15118" width="16" style="120" customWidth="1"/>
    <col min="15119" max="15325" width="9.140625" style="120"/>
    <col min="15326" max="15327" width="4.85546875" style="120" customWidth="1"/>
    <col min="15328" max="15328" width="7.5703125" style="120" customWidth="1"/>
    <col min="15329" max="15329" width="0" style="120" hidden="1" customWidth="1"/>
    <col min="15330" max="15330" width="63.7109375" style="120" customWidth="1"/>
    <col min="15331" max="15334" width="0" style="120" hidden="1" customWidth="1"/>
    <col min="15335" max="15374" width="16" style="120" customWidth="1"/>
    <col min="15375" max="15581" width="9.140625" style="120"/>
    <col min="15582" max="15583" width="4.85546875" style="120" customWidth="1"/>
    <col min="15584" max="15584" width="7.5703125" style="120" customWidth="1"/>
    <col min="15585" max="15585" width="0" style="120" hidden="1" customWidth="1"/>
    <col min="15586" max="15586" width="63.7109375" style="120" customWidth="1"/>
    <col min="15587" max="15590" width="0" style="120" hidden="1" customWidth="1"/>
    <col min="15591" max="15630" width="16" style="120" customWidth="1"/>
    <col min="15631" max="15837" width="9.140625" style="120"/>
    <col min="15838" max="15839" width="4.85546875" style="120" customWidth="1"/>
    <col min="15840" max="15840" width="7.5703125" style="120" customWidth="1"/>
    <col min="15841" max="15841" width="0" style="120" hidden="1" customWidth="1"/>
    <col min="15842" max="15842" width="63.7109375" style="120" customWidth="1"/>
    <col min="15843" max="15846" width="0" style="120" hidden="1" customWidth="1"/>
    <col min="15847" max="15886" width="16" style="120" customWidth="1"/>
    <col min="15887" max="16093" width="9.140625" style="120"/>
    <col min="16094" max="16095" width="4.85546875" style="120" customWidth="1"/>
    <col min="16096" max="16096" width="7.5703125" style="120" customWidth="1"/>
    <col min="16097" max="16097" width="0" style="120" hidden="1" customWidth="1"/>
    <col min="16098" max="16098" width="63.7109375" style="120" customWidth="1"/>
    <col min="16099" max="16102" width="0" style="120" hidden="1" customWidth="1"/>
    <col min="16103" max="16142" width="16" style="120" customWidth="1"/>
    <col min="16143" max="16384" width="9.140625" style="120"/>
  </cols>
  <sheetData>
    <row r="1" spans="1:20" ht="20.2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ht="15.75" customHeight="1">
      <c r="A2" s="118"/>
      <c r="B2" s="178"/>
      <c r="C2" s="209" t="s">
        <v>126</v>
      </c>
      <c r="D2" s="209"/>
      <c r="E2" s="207" t="s">
        <v>127</v>
      </c>
      <c r="F2" s="220" t="s">
        <v>126</v>
      </c>
      <c r="G2" s="145" t="str">
        <f>""</f>
        <v/>
      </c>
      <c r="H2" s="122"/>
      <c r="I2" s="122"/>
      <c r="J2" s="122"/>
      <c r="K2" s="122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8" customHeight="1">
      <c r="A3" s="69" t="s">
        <v>1</v>
      </c>
      <c r="B3" s="70" t="s">
        <v>128</v>
      </c>
      <c r="C3" s="71">
        <f>+D3-1</f>
        <v>2017</v>
      </c>
      <c r="D3" s="72">
        <f>+E3-1</f>
        <v>2018</v>
      </c>
      <c r="E3" s="72">
        <f>+F3</f>
        <v>2019</v>
      </c>
      <c r="F3" s="73">
        <f>+G3-1</f>
        <v>2019</v>
      </c>
      <c r="G3" s="144">
        <f>+[1]DaneZrodlowe!$N$1</f>
        <v>2020</v>
      </c>
      <c r="H3" s="74">
        <f t="shared" ref="H3:T3" si="0">+G3+1</f>
        <v>2021</v>
      </c>
      <c r="I3" s="74">
        <f t="shared" si="0"/>
        <v>2022</v>
      </c>
      <c r="J3" s="74">
        <f t="shared" si="0"/>
        <v>2023</v>
      </c>
      <c r="K3" s="74">
        <f t="shared" si="0"/>
        <v>2024</v>
      </c>
      <c r="L3" s="74">
        <f t="shared" si="0"/>
        <v>2025</v>
      </c>
      <c r="M3" s="74">
        <f t="shared" si="0"/>
        <v>2026</v>
      </c>
      <c r="N3" s="74">
        <f t="shared" si="0"/>
        <v>2027</v>
      </c>
      <c r="O3" s="74">
        <f t="shared" si="0"/>
        <v>2028</v>
      </c>
      <c r="P3" s="74">
        <f t="shared" si="0"/>
        <v>2029</v>
      </c>
      <c r="Q3" s="74">
        <f t="shared" si="0"/>
        <v>2030</v>
      </c>
      <c r="R3" s="74">
        <f t="shared" si="0"/>
        <v>2031</v>
      </c>
      <c r="S3" s="74">
        <f t="shared" si="0"/>
        <v>2032</v>
      </c>
      <c r="T3" s="74">
        <f t="shared" si="0"/>
        <v>2033</v>
      </c>
    </row>
    <row r="4" spans="1:20" ht="18" customHeight="1">
      <c r="A4" s="146">
        <v>1</v>
      </c>
      <c r="B4" s="147" t="s">
        <v>129</v>
      </c>
      <c r="C4" s="148">
        <f>135769078.54</f>
        <v>135769078.53999999</v>
      </c>
      <c r="D4" s="149">
        <f>145269730.18</f>
        <v>145269730.18000001</v>
      </c>
      <c r="E4" s="149">
        <f>151645715.55</f>
        <v>151645715.55000001</v>
      </c>
      <c r="F4" s="150">
        <f>153315639.25</f>
        <v>153315639.25</v>
      </c>
      <c r="G4" s="151">
        <f>160953553.85</f>
        <v>160953553.84999999</v>
      </c>
      <c r="H4" s="152">
        <f>161512406</f>
        <v>161512406</v>
      </c>
      <c r="I4" s="152">
        <f>165712684</f>
        <v>165712684</v>
      </c>
      <c r="J4" s="152">
        <f>168886876</f>
        <v>168886876</v>
      </c>
      <c r="K4" s="152">
        <f>171899883</f>
        <v>171899883</v>
      </c>
      <c r="L4" s="152">
        <f>175351179</f>
        <v>175351179</v>
      </c>
      <c r="M4" s="152">
        <f>180795214</f>
        <v>180795214</v>
      </c>
      <c r="N4" s="152">
        <f>185766526</f>
        <v>185766526</v>
      </c>
      <c r="O4" s="152">
        <f>190953990</f>
        <v>190953990</v>
      </c>
      <c r="P4" s="152">
        <f>196096247</f>
        <v>196096247</v>
      </c>
      <c r="Q4" s="152">
        <f>201377345</f>
        <v>201377345</v>
      </c>
      <c r="R4" s="152">
        <f>206600157</f>
        <v>206600157</v>
      </c>
      <c r="S4" s="152">
        <f>211752660</f>
        <v>211752660</v>
      </c>
      <c r="T4" s="152">
        <f>216822724</f>
        <v>216822724</v>
      </c>
    </row>
    <row r="5" spans="1:20" ht="18" customHeight="1">
      <c r="A5" s="123" t="s">
        <v>130</v>
      </c>
      <c r="B5" s="179" t="s">
        <v>231</v>
      </c>
      <c r="C5" s="75">
        <f>116715488.34</f>
        <v>116715488.34</v>
      </c>
      <c r="D5" s="4">
        <f>126568566.74</f>
        <v>126568566.73999999</v>
      </c>
      <c r="E5" s="4">
        <f>138448744.55</f>
        <v>138448744.55000001</v>
      </c>
      <c r="F5" s="5">
        <f>141340639.13</f>
        <v>141340639.13</v>
      </c>
      <c r="G5" s="6">
        <f>148214809.85</f>
        <v>148214809.84999999</v>
      </c>
      <c r="H5" s="7">
        <f>154735206</f>
        <v>154735206</v>
      </c>
      <c r="I5" s="7">
        <f>159812684</f>
        <v>159812684</v>
      </c>
      <c r="J5" s="7">
        <f>164766876</f>
        <v>164766876</v>
      </c>
      <c r="K5" s="7">
        <f>169709883</f>
        <v>169709883</v>
      </c>
      <c r="L5" s="7">
        <f>174801179</f>
        <v>174801179</v>
      </c>
      <c r="M5" s="7">
        <f>180045214</f>
        <v>180045214</v>
      </c>
      <c r="N5" s="7">
        <f>185266526</f>
        <v>185266526</v>
      </c>
      <c r="O5" s="7">
        <f>190453990</f>
        <v>190453990</v>
      </c>
      <c r="P5" s="7">
        <f>195596247</f>
        <v>195596247</v>
      </c>
      <c r="Q5" s="7">
        <f>200877345</f>
        <v>200877345</v>
      </c>
      <c r="R5" s="7">
        <f>206100157</f>
        <v>206100157</v>
      </c>
      <c r="S5" s="7">
        <f>211252660</f>
        <v>211252660</v>
      </c>
      <c r="T5" s="7">
        <f>216322724</f>
        <v>216322724</v>
      </c>
    </row>
    <row r="6" spans="1:20" ht="35.25" customHeight="1">
      <c r="A6" s="123" t="s">
        <v>131</v>
      </c>
      <c r="B6" s="124" t="s">
        <v>132</v>
      </c>
      <c r="C6" s="75">
        <f>44035115</f>
        <v>44035115</v>
      </c>
      <c r="D6" s="4">
        <f>50171188</f>
        <v>50171188</v>
      </c>
      <c r="E6" s="4">
        <f>53890702</f>
        <v>53890702</v>
      </c>
      <c r="F6" s="5">
        <f>54400021</f>
        <v>54400021</v>
      </c>
      <c r="G6" s="6">
        <f>52992669</f>
        <v>52992669</v>
      </c>
      <c r="H6" s="7">
        <f>58512200</f>
        <v>58512200</v>
      </c>
      <c r="I6" s="7">
        <f>60443103</f>
        <v>60443103</v>
      </c>
      <c r="J6" s="7">
        <f>62316839</f>
        <v>62316839</v>
      </c>
      <c r="K6" s="7">
        <f>64186344</f>
        <v>64186344</v>
      </c>
      <c r="L6" s="7">
        <f>66111934</f>
        <v>66111934</v>
      </c>
      <c r="M6" s="7">
        <f>68095292</f>
        <v>68095292</v>
      </c>
      <c r="N6" s="7">
        <f>70070055</f>
        <v>70070055</v>
      </c>
      <c r="O6" s="7">
        <f>72032017</f>
        <v>72032017</v>
      </c>
      <c r="P6" s="7">
        <f>73976881</f>
        <v>73976881</v>
      </c>
      <c r="Q6" s="7">
        <f>75974257</f>
        <v>75974257</v>
      </c>
      <c r="R6" s="7">
        <f>77949588</f>
        <v>77949588</v>
      </c>
      <c r="S6" s="7">
        <f>79898328</f>
        <v>79898328</v>
      </c>
      <c r="T6" s="7">
        <f>81815888</f>
        <v>81815888</v>
      </c>
    </row>
    <row r="7" spans="1:20" ht="28.5" customHeight="1">
      <c r="A7" s="123" t="s">
        <v>133</v>
      </c>
      <c r="B7" s="124" t="s">
        <v>134</v>
      </c>
      <c r="C7" s="75">
        <f>987572.58</f>
        <v>987572.58</v>
      </c>
      <c r="D7" s="4">
        <f>888145.77</f>
        <v>888145.77</v>
      </c>
      <c r="E7" s="4">
        <f>1000000</f>
        <v>1000000</v>
      </c>
      <c r="F7" s="5">
        <f>883588.42</f>
        <v>883588.42</v>
      </c>
      <c r="G7" s="6">
        <f>1000000</f>
        <v>1000000</v>
      </c>
      <c r="H7" s="7">
        <f>1064000</f>
        <v>1064000</v>
      </c>
      <c r="I7" s="7">
        <f>1099112</f>
        <v>1099112</v>
      </c>
      <c r="J7" s="7">
        <f>1133184</f>
        <v>1133184</v>
      </c>
      <c r="K7" s="7">
        <f>1167180</f>
        <v>1167180</v>
      </c>
      <c r="L7" s="7">
        <f>1202195</f>
        <v>1202195</v>
      </c>
      <c r="M7" s="7">
        <f>1238261</f>
        <v>1238261</v>
      </c>
      <c r="N7" s="7">
        <f>1274171</f>
        <v>1274171</v>
      </c>
      <c r="O7" s="7">
        <f>1309848</f>
        <v>1309848</v>
      </c>
      <c r="P7" s="7">
        <f>1345214</f>
        <v>1345214</v>
      </c>
      <c r="Q7" s="7">
        <f>1381535</f>
        <v>1381535</v>
      </c>
      <c r="R7" s="7">
        <f>1417455</f>
        <v>1417455</v>
      </c>
      <c r="S7" s="7">
        <f>1452891</f>
        <v>1452891</v>
      </c>
      <c r="T7" s="7">
        <f>1487760</f>
        <v>1487760</v>
      </c>
    </row>
    <row r="8" spans="1:20" ht="18" customHeight="1">
      <c r="A8" s="123" t="s">
        <v>135</v>
      </c>
      <c r="B8" s="124" t="s">
        <v>138</v>
      </c>
      <c r="C8" s="75">
        <f>43955181</f>
        <v>43955181</v>
      </c>
      <c r="D8" s="4">
        <f>46201081</f>
        <v>46201081</v>
      </c>
      <c r="E8" s="4">
        <f>52247818</f>
        <v>52247818</v>
      </c>
      <c r="F8" s="5">
        <f>53406551</f>
        <v>53406551</v>
      </c>
      <c r="G8" s="6">
        <f>60362862</f>
        <v>60362862</v>
      </c>
      <c r="H8" s="7">
        <f>63550908</f>
        <v>63550908</v>
      </c>
      <c r="I8" s="7">
        <f>65648088</f>
        <v>65648088</v>
      </c>
      <c r="J8" s="7">
        <f>67683179</f>
        <v>67683179</v>
      </c>
      <c r="K8" s="7">
        <f>69713674</f>
        <v>69713674</v>
      </c>
      <c r="L8" s="7">
        <f>71805084</f>
        <v>71805084</v>
      </c>
      <c r="M8" s="7">
        <f>73959237</f>
        <v>73959237</v>
      </c>
      <c r="N8" s="7">
        <f>76104055</f>
        <v>76104055</v>
      </c>
      <c r="O8" s="7">
        <f>78234969</f>
        <v>78234969</v>
      </c>
      <c r="P8" s="7">
        <f>80347313</f>
        <v>80347313</v>
      </c>
      <c r="Q8" s="7">
        <f>82516690</f>
        <v>82516690</v>
      </c>
      <c r="R8" s="7">
        <f>84662124</f>
        <v>84662124</v>
      </c>
      <c r="S8" s="7">
        <f>86778677</f>
        <v>86778677</v>
      </c>
      <c r="T8" s="7">
        <f>88861365</f>
        <v>88861365</v>
      </c>
    </row>
    <row r="9" spans="1:20" ht="30" customHeight="1">
      <c r="A9" s="123" t="s">
        <v>137</v>
      </c>
      <c r="B9" s="124" t="s">
        <v>140</v>
      </c>
      <c r="C9" s="75">
        <f>16878810.53</f>
        <v>16878810.530000001</v>
      </c>
      <c r="D9" s="4">
        <f>17583692.65</f>
        <v>17583692.649999999</v>
      </c>
      <c r="E9" s="4">
        <f>19736951.55</f>
        <v>19736951.550000001</v>
      </c>
      <c r="F9" s="5">
        <f>20211589.81</f>
        <v>20211589.809999999</v>
      </c>
      <c r="G9" s="6">
        <f>21046117.85</f>
        <v>21046117.850000001</v>
      </c>
      <c r="H9" s="7">
        <f>18627477</f>
        <v>18627477</v>
      </c>
      <c r="I9" s="7">
        <f>19213400</f>
        <v>19213400</v>
      </c>
      <c r="J9" s="7">
        <f>19809015</f>
        <v>19809015</v>
      </c>
      <c r="K9" s="7">
        <f>20403285</f>
        <v>20403285</v>
      </c>
      <c r="L9" s="7">
        <f>21015384</f>
        <v>21015384</v>
      </c>
      <c r="M9" s="7">
        <f>21645846</f>
        <v>21645846</v>
      </c>
      <c r="N9" s="7">
        <f>22273576</f>
        <v>22273576</v>
      </c>
      <c r="O9" s="7">
        <f>22897236</f>
        <v>22897236</v>
      </c>
      <c r="P9" s="7">
        <f>23515461</f>
        <v>23515461</v>
      </c>
      <c r="Q9" s="7">
        <f>24150378</f>
        <v>24150378</v>
      </c>
      <c r="R9" s="7">
        <f>24778288</f>
        <v>24778288</v>
      </c>
      <c r="S9" s="7">
        <f>25397744</f>
        <v>25397744</v>
      </c>
      <c r="T9" s="7">
        <f>26007291</f>
        <v>26007291</v>
      </c>
    </row>
    <row r="10" spans="1:20" ht="18" customHeight="1">
      <c r="A10" s="123" t="s">
        <v>139</v>
      </c>
      <c r="B10" s="124" t="s">
        <v>232</v>
      </c>
      <c r="C10" s="75">
        <f>10858809.23</f>
        <v>10858809.23</v>
      </c>
      <c r="D10" s="4">
        <f>11724459.32</f>
        <v>11724459.32</v>
      </c>
      <c r="E10" s="4">
        <f>11573273</f>
        <v>11573273</v>
      </c>
      <c r="F10" s="5">
        <f>12438888.9</f>
        <v>12438888.9</v>
      </c>
      <c r="G10" s="6">
        <f>12813161</f>
        <v>12813161</v>
      </c>
      <c r="H10" s="7">
        <f>12980621</f>
        <v>12980621</v>
      </c>
      <c r="I10" s="7">
        <f>13408981</f>
        <v>13408981</v>
      </c>
      <c r="J10" s="7">
        <f>13824659</f>
        <v>13824659</v>
      </c>
      <c r="K10" s="7">
        <f>14239399</f>
        <v>14239399</v>
      </c>
      <c r="L10" s="7">
        <f>14666581</f>
        <v>14666581</v>
      </c>
      <c r="M10" s="7">
        <f>15106578</f>
        <v>15106578</v>
      </c>
      <c r="N10" s="7">
        <f>15544669</f>
        <v>15544669</v>
      </c>
      <c r="O10" s="7">
        <f>15979920</f>
        <v>15979920</v>
      </c>
      <c r="P10" s="7">
        <f>16411378</f>
        <v>16411378</v>
      </c>
      <c r="Q10" s="7">
        <f>16854485</f>
        <v>16854485</v>
      </c>
      <c r="R10" s="7">
        <f>17292702</f>
        <v>17292702</v>
      </c>
      <c r="S10" s="7">
        <f>17725020</f>
        <v>17725020</v>
      </c>
      <c r="T10" s="7">
        <f>18150420</f>
        <v>18150420</v>
      </c>
    </row>
    <row r="11" spans="1:20" ht="18" customHeight="1">
      <c r="A11" s="123" t="s">
        <v>233</v>
      </c>
      <c r="B11" s="180" t="s">
        <v>136</v>
      </c>
      <c r="C11" s="75">
        <f>0</f>
        <v>0</v>
      </c>
      <c r="D11" s="4">
        <f>0</f>
        <v>0</v>
      </c>
      <c r="E11" s="4">
        <f>0</f>
        <v>0</v>
      </c>
      <c r="F11" s="5">
        <f>0</f>
        <v>0</v>
      </c>
      <c r="G11" s="6">
        <f>0</f>
        <v>0</v>
      </c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</row>
    <row r="12" spans="1:20" ht="18" customHeight="1">
      <c r="A12" s="123" t="s">
        <v>141</v>
      </c>
      <c r="B12" s="179" t="s">
        <v>234</v>
      </c>
      <c r="C12" s="75">
        <f>19053590.2</f>
        <v>19053590.199999999</v>
      </c>
      <c r="D12" s="4">
        <f>18701163.44</f>
        <v>18701163.440000001</v>
      </c>
      <c r="E12" s="4">
        <f>13196971</f>
        <v>13196971</v>
      </c>
      <c r="F12" s="5">
        <f>11975000.12</f>
        <v>11975000.119999999</v>
      </c>
      <c r="G12" s="6">
        <f>12738744</f>
        <v>12738744</v>
      </c>
      <c r="H12" s="7">
        <f>6777200</f>
        <v>6777200</v>
      </c>
      <c r="I12" s="7">
        <f>5900000</f>
        <v>5900000</v>
      </c>
      <c r="J12" s="7">
        <f>4120000</f>
        <v>4120000</v>
      </c>
      <c r="K12" s="7">
        <f>2190000</f>
        <v>2190000</v>
      </c>
      <c r="L12" s="7">
        <f>550000</f>
        <v>550000</v>
      </c>
      <c r="M12" s="7">
        <f>750000</f>
        <v>750000</v>
      </c>
      <c r="N12" s="7">
        <f t="shared" ref="N12:T12" si="1">500000</f>
        <v>500000</v>
      </c>
      <c r="O12" s="7">
        <f t="shared" si="1"/>
        <v>500000</v>
      </c>
      <c r="P12" s="7">
        <f t="shared" si="1"/>
        <v>500000</v>
      </c>
      <c r="Q12" s="7">
        <f t="shared" si="1"/>
        <v>500000</v>
      </c>
      <c r="R12" s="7">
        <f t="shared" si="1"/>
        <v>500000</v>
      </c>
      <c r="S12" s="7">
        <f t="shared" si="1"/>
        <v>500000</v>
      </c>
      <c r="T12" s="7">
        <f t="shared" si="1"/>
        <v>500000</v>
      </c>
    </row>
    <row r="13" spans="1:20" ht="18" customHeight="1">
      <c r="A13" s="123" t="s">
        <v>142</v>
      </c>
      <c r="B13" s="124" t="s">
        <v>143</v>
      </c>
      <c r="C13" s="75">
        <f>4862594.7</f>
        <v>4862594.7</v>
      </c>
      <c r="D13" s="4">
        <f>926571.82</f>
        <v>926571.82</v>
      </c>
      <c r="E13" s="4">
        <f>4709843</f>
        <v>4709843</v>
      </c>
      <c r="F13" s="5">
        <f>3518035.41</f>
        <v>3518035.41</v>
      </c>
      <c r="G13" s="6">
        <f>3997850</f>
        <v>3997850</v>
      </c>
      <c r="H13" s="7">
        <f>2270000</f>
        <v>2270000</v>
      </c>
      <c r="I13" s="7">
        <f>1200000</f>
        <v>1200000</v>
      </c>
      <c r="J13" s="7">
        <f>120000</f>
        <v>120000</v>
      </c>
      <c r="K13" s="7">
        <f>40000</f>
        <v>40000</v>
      </c>
      <c r="L13" s="7">
        <f>50000</f>
        <v>50000</v>
      </c>
      <c r="M13" s="7">
        <f>250000</f>
        <v>250000</v>
      </c>
      <c r="N13" s="7">
        <f>0</f>
        <v>0</v>
      </c>
      <c r="O13" s="7">
        <f>0</f>
        <v>0</v>
      </c>
      <c r="P13" s="7">
        <f>0</f>
        <v>0</v>
      </c>
      <c r="Q13" s="7">
        <f>0</f>
        <v>0</v>
      </c>
      <c r="R13" s="7">
        <f>0</f>
        <v>0</v>
      </c>
      <c r="S13" s="7">
        <f>0</f>
        <v>0</v>
      </c>
      <c r="T13" s="7">
        <f>0</f>
        <v>0</v>
      </c>
    </row>
    <row r="14" spans="1:20" ht="37.5" customHeight="1">
      <c r="A14" s="123" t="s">
        <v>144</v>
      </c>
      <c r="B14" s="124" t="s">
        <v>145</v>
      </c>
      <c r="C14" s="75">
        <f>14100719</f>
        <v>14100719</v>
      </c>
      <c r="D14" s="4">
        <f>17768942.48</f>
        <v>17768942.48</v>
      </c>
      <c r="E14" s="4">
        <f>8481128</f>
        <v>8481128</v>
      </c>
      <c r="F14" s="5">
        <f>8431128.27</f>
        <v>8431128.2699999996</v>
      </c>
      <c r="G14" s="6">
        <f>8651310</f>
        <v>8651310</v>
      </c>
      <c r="H14" s="7">
        <f>4507200</f>
        <v>4507200</v>
      </c>
      <c r="I14" s="7">
        <f>4700000</f>
        <v>4700000</v>
      </c>
      <c r="J14" s="7">
        <f>4000000</f>
        <v>4000000</v>
      </c>
      <c r="K14" s="7">
        <f>2150000</f>
        <v>2150000</v>
      </c>
      <c r="L14" s="7">
        <f t="shared" ref="L14:T14" si="2">500000</f>
        <v>500000</v>
      </c>
      <c r="M14" s="7">
        <f t="shared" si="2"/>
        <v>500000</v>
      </c>
      <c r="N14" s="7">
        <f t="shared" si="2"/>
        <v>500000</v>
      </c>
      <c r="O14" s="7">
        <f t="shared" si="2"/>
        <v>500000</v>
      </c>
      <c r="P14" s="7">
        <f t="shared" si="2"/>
        <v>500000</v>
      </c>
      <c r="Q14" s="7">
        <f t="shared" si="2"/>
        <v>500000</v>
      </c>
      <c r="R14" s="7">
        <f t="shared" si="2"/>
        <v>500000</v>
      </c>
      <c r="S14" s="7">
        <f t="shared" si="2"/>
        <v>500000</v>
      </c>
      <c r="T14" s="7">
        <f t="shared" si="2"/>
        <v>500000</v>
      </c>
    </row>
    <row r="15" spans="1:20" ht="18" customHeight="1">
      <c r="A15" s="126">
        <v>2</v>
      </c>
      <c r="B15" s="127" t="s">
        <v>146</v>
      </c>
      <c r="C15" s="76">
        <f>132768246.1</f>
        <v>132768246.09999999</v>
      </c>
      <c r="D15" s="1">
        <f>151231402.82</f>
        <v>151231402.81999999</v>
      </c>
      <c r="E15" s="1">
        <f>156860306.55</f>
        <v>156860306.55000001</v>
      </c>
      <c r="F15" s="2">
        <f>147895424.67</f>
        <v>147895424.66999999</v>
      </c>
      <c r="G15" s="139">
        <f>172566237.85</f>
        <v>172566237.84999999</v>
      </c>
      <c r="H15" s="3">
        <f>161270406</f>
        <v>161270406</v>
      </c>
      <c r="I15" s="3">
        <f>164230684</f>
        <v>164230684</v>
      </c>
      <c r="J15" s="3">
        <f>167264876</f>
        <v>167264876</v>
      </c>
      <c r="K15" s="3">
        <f>167387883</f>
        <v>167387883</v>
      </c>
      <c r="L15" s="3">
        <f>170479179</f>
        <v>170479179</v>
      </c>
      <c r="M15" s="3">
        <f>175855214</f>
        <v>175855214</v>
      </c>
      <c r="N15" s="3">
        <f>179626526</f>
        <v>179626526</v>
      </c>
      <c r="O15" s="3">
        <f>184813990</f>
        <v>184813990</v>
      </c>
      <c r="P15" s="3">
        <f>190196247</f>
        <v>190196247</v>
      </c>
      <c r="Q15" s="3">
        <f>194897345</f>
        <v>194897345</v>
      </c>
      <c r="R15" s="3">
        <f>199100157</f>
        <v>199100157</v>
      </c>
      <c r="S15" s="3">
        <f>210212660</f>
        <v>210212660</v>
      </c>
      <c r="T15" s="3">
        <f>215282724</f>
        <v>215282724</v>
      </c>
    </row>
    <row r="16" spans="1:20" ht="18" customHeight="1">
      <c r="A16" s="123" t="s">
        <v>147</v>
      </c>
      <c r="B16" s="179" t="s">
        <v>148</v>
      </c>
      <c r="C16" s="75">
        <f>104880266.03</f>
        <v>104880266.03</v>
      </c>
      <c r="D16" s="4">
        <f>114334644.46</f>
        <v>114334644.45999999</v>
      </c>
      <c r="E16" s="4">
        <f>132658152.55</f>
        <v>132658152.55</v>
      </c>
      <c r="F16" s="5">
        <f>127582243.88</f>
        <v>127582243.88</v>
      </c>
      <c r="G16" s="6">
        <f>143984460.85</f>
        <v>143984460.84999999</v>
      </c>
      <c r="H16" s="7">
        <f>147157470</f>
        <v>147157470</v>
      </c>
      <c r="I16" s="7">
        <f>150496291</f>
        <v>150496291</v>
      </c>
      <c r="J16" s="7">
        <f>154045352</f>
        <v>154045352</v>
      </c>
      <c r="K16" s="7">
        <f>155077971</f>
        <v>155077971</v>
      </c>
      <c r="L16" s="7">
        <f>159442835</f>
        <v>159442835</v>
      </c>
      <c r="M16" s="7">
        <f>163488539</f>
        <v>163488539</v>
      </c>
      <c r="N16" s="7">
        <f>167327238</f>
        <v>167327238</v>
      </c>
      <c r="O16" s="7">
        <f>171316944</f>
        <v>171316944</v>
      </c>
      <c r="P16" s="7">
        <f>175406582</f>
        <v>175406582</v>
      </c>
      <c r="Q16" s="7">
        <f>179598742</f>
        <v>179598742</v>
      </c>
      <c r="R16" s="7">
        <f>182914076</f>
        <v>182914076</v>
      </c>
      <c r="S16" s="7">
        <f>187386928</f>
        <v>187386928</v>
      </c>
      <c r="T16" s="7">
        <f>192134101</f>
        <v>192134101</v>
      </c>
    </row>
    <row r="17" spans="1:20" ht="18" customHeight="1">
      <c r="A17" s="123" t="s">
        <v>149</v>
      </c>
      <c r="B17" s="124" t="s">
        <v>235</v>
      </c>
      <c r="C17" s="75">
        <f>67448302.75</f>
        <v>67448302.75</v>
      </c>
      <c r="D17" s="4">
        <f>71472876.32</f>
        <v>71472876.319999993</v>
      </c>
      <c r="E17" s="4">
        <f>78934557</f>
        <v>78934557</v>
      </c>
      <c r="F17" s="5">
        <f>77428656.2</f>
        <v>77428656.200000003</v>
      </c>
      <c r="G17" s="6">
        <f>85617315</f>
        <v>85617315</v>
      </c>
      <c r="H17" s="7">
        <f>88350630</f>
        <v>88350630</v>
      </c>
      <c r="I17" s="7">
        <f>90559396</f>
        <v>90559396</v>
      </c>
      <c r="J17" s="7">
        <f>92823381</f>
        <v>92823381</v>
      </c>
      <c r="K17" s="7">
        <f>95143966</f>
        <v>95143966</v>
      </c>
      <c r="L17" s="7">
        <f>97522565</f>
        <v>97522565</v>
      </c>
      <c r="M17" s="7">
        <f>99960629</f>
        <v>99960629</v>
      </c>
      <c r="N17" s="7">
        <f>102459645</f>
        <v>102459645</v>
      </c>
      <c r="O17" s="7">
        <f>105021136</f>
        <v>105021136</v>
      </c>
      <c r="P17" s="7">
        <f>107646664</f>
        <v>107646664</v>
      </c>
      <c r="Q17" s="7">
        <f>110337831</f>
        <v>110337831</v>
      </c>
      <c r="R17" s="7">
        <f>113096277</f>
        <v>113096277</v>
      </c>
      <c r="S17" s="7">
        <f>115923684</f>
        <v>115923684</v>
      </c>
      <c r="T17" s="7">
        <f>118821776</f>
        <v>118821776</v>
      </c>
    </row>
    <row r="18" spans="1:20" ht="18" customHeight="1">
      <c r="A18" s="123" t="s">
        <v>150</v>
      </c>
      <c r="B18" s="124" t="s">
        <v>236</v>
      </c>
      <c r="C18" s="75">
        <f>431053.14</f>
        <v>431053.14</v>
      </c>
      <c r="D18" s="4">
        <f>428958</f>
        <v>428958</v>
      </c>
      <c r="E18" s="4">
        <f>2900000</f>
        <v>2900000</v>
      </c>
      <c r="F18" s="5">
        <f>2822280</f>
        <v>2822280</v>
      </c>
      <c r="G18" s="6">
        <f>2669050</f>
        <v>2669050</v>
      </c>
      <c r="H18" s="7">
        <f>2880000</f>
        <v>2880000</v>
      </c>
      <c r="I18" s="7">
        <f>2829250</f>
        <v>2829250</v>
      </c>
      <c r="J18" s="7">
        <f>2827000</f>
        <v>2827000</v>
      </c>
      <c r="K18" s="7">
        <f>274000</f>
        <v>274000</v>
      </c>
      <c r="L18" s="7">
        <f>911250</f>
        <v>911250</v>
      </c>
      <c r="M18" s="7">
        <f>1135000</f>
        <v>1135000</v>
      </c>
      <c r="N18" s="7">
        <f>1105000</f>
        <v>1105000</v>
      </c>
      <c r="O18" s="7">
        <f>1075000</f>
        <v>1075000</v>
      </c>
      <c r="P18" s="7">
        <f>1045000</f>
        <v>1045000</v>
      </c>
      <c r="Q18" s="7">
        <f>1015000</f>
        <v>1015000</v>
      </c>
      <c r="R18" s="7">
        <f>0</f>
        <v>0</v>
      </c>
      <c r="S18" s="7">
        <f>0</f>
        <v>0</v>
      </c>
      <c r="T18" s="7">
        <f>0</f>
        <v>0</v>
      </c>
    </row>
    <row r="19" spans="1:20" ht="47.25" customHeight="1">
      <c r="A19" s="123" t="s">
        <v>237</v>
      </c>
      <c r="B19" s="180" t="s">
        <v>238</v>
      </c>
      <c r="C19" s="75">
        <f>0</f>
        <v>0</v>
      </c>
      <c r="D19" s="4">
        <f>0</f>
        <v>0</v>
      </c>
      <c r="E19" s="4">
        <f>0</f>
        <v>0</v>
      </c>
      <c r="F19" s="5">
        <f>0</f>
        <v>0</v>
      </c>
      <c r="G19" s="6">
        <f>0</f>
        <v>0</v>
      </c>
      <c r="H19" s="7">
        <f>0</f>
        <v>0</v>
      </c>
      <c r="I19" s="7">
        <f>0</f>
        <v>0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f>0</f>
        <v>0</v>
      </c>
      <c r="S19" s="7">
        <f>0</f>
        <v>0</v>
      </c>
      <c r="T19" s="7">
        <f>0</f>
        <v>0</v>
      </c>
    </row>
    <row r="20" spans="1:20" ht="21.75" customHeight="1">
      <c r="A20" s="123" t="s">
        <v>151</v>
      </c>
      <c r="B20" s="124" t="s">
        <v>152</v>
      </c>
      <c r="C20" s="75">
        <f>1119766</f>
        <v>1119766</v>
      </c>
      <c r="D20" s="4">
        <f>1120444.53</f>
        <v>1120444.53</v>
      </c>
      <c r="E20" s="4">
        <f>1300000</f>
        <v>1300000</v>
      </c>
      <c r="F20" s="5">
        <f>1178256.98</f>
        <v>1178256.98</v>
      </c>
      <c r="G20" s="6">
        <f>1300000</f>
        <v>1300000</v>
      </c>
      <c r="H20" s="7">
        <f>1400000</f>
        <v>1400000</v>
      </c>
      <c r="I20" s="7">
        <f>1400000</f>
        <v>1400000</v>
      </c>
      <c r="J20" s="7">
        <f>1400000</f>
        <v>1400000</v>
      </c>
      <c r="K20" s="7">
        <f>1300000</f>
        <v>1300000</v>
      </c>
      <c r="L20" s="7">
        <f>1200000</f>
        <v>1200000</v>
      </c>
      <c r="M20" s="7">
        <f>1000000</f>
        <v>1000000</v>
      </c>
      <c r="N20" s="7">
        <f>810000</f>
        <v>810000</v>
      </c>
      <c r="O20" s="7">
        <f>670000</f>
        <v>670000</v>
      </c>
      <c r="P20" s="7">
        <f>500000</f>
        <v>500000</v>
      </c>
      <c r="Q20" s="7">
        <f>310000</f>
        <v>310000</v>
      </c>
      <c r="R20" s="7">
        <f>160000</f>
        <v>160000</v>
      </c>
      <c r="S20" s="7">
        <f>0</f>
        <v>0</v>
      </c>
      <c r="T20" s="7">
        <f>0</f>
        <v>0</v>
      </c>
    </row>
    <row r="21" spans="1:20" ht="100.5" customHeight="1">
      <c r="A21" s="123" t="s">
        <v>153</v>
      </c>
      <c r="B21" s="180" t="s">
        <v>154</v>
      </c>
      <c r="C21" s="75">
        <f>0</f>
        <v>0</v>
      </c>
      <c r="D21" s="4">
        <f>0</f>
        <v>0</v>
      </c>
      <c r="E21" s="4">
        <f>0</f>
        <v>0</v>
      </c>
      <c r="F21" s="5">
        <f>0</f>
        <v>0</v>
      </c>
      <c r="G21" s="6">
        <f>0</f>
        <v>0</v>
      </c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</row>
    <row r="22" spans="1:20" ht="54.75" customHeight="1">
      <c r="A22" s="123" t="s">
        <v>239</v>
      </c>
      <c r="B22" s="180" t="s">
        <v>240</v>
      </c>
      <c r="C22" s="75">
        <f>0</f>
        <v>0</v>
      </c>
      <c r="D22" s="4">
        <f>0</f>
        <v>0</v>
      </c>
      <c r="E22" s="4">
        <f>0</f>
        <v>0</v>
      </c>
      <c r="F22" s="5">
        <f>0</f>
        <v>0</v>
      </c>
      <c r="G22" s="6">
        <f>0</f>
        <v>0</v>
      </c>
      <c r="H22" s="7">
        <f>0</f>
        <v>0</v>
      </c>
      <c r="I22" s="7">
        <f>0</f>
        <v>0</v>
      </c>
      <c r="J22" s="7">
        <f>0</f>
        <v>0</v>
      </c>
      <c r="K22" s="7">
        <f>0</f>
        <v>0</v>
      </c>
      <c r="L22" s="7">
        <f>0</f>
        <v>0</v>
      </c>
      <c r="M22" s="7">
        <f>0</f>
        <v>0</v>
      </c>
      <c r="N22" s="7">
        <f>0</f>
        <v>0</v>
      </c>
      <c r="O22" s="7">
        <f>0</f>
        <v>0</v>
      </c>
      <c r="P22" s="7">
        <f>0</f>
        <v>0</v>
      </c>
      <c r="Q22" s="7">
        <f>0</f>
        <v>0</v>
      </c>
      <c r="R22" s="7">
        <f>0</f>
        <v>0</v>
      </c>
      <c r="S22" s="7">
        <f>0</f>
        <v>0</v>
      </c>
      <c r="T22" s="7">
        <f>0</f>
        <v>0</v>
      </c>
    </row>
    <row r="23" spans="1:20" ht="42.75" customHeight="1">
      <c r="A23" s="123" t="s">
        <v>355</v>
      </c>
      <c r="B23" s="180" t="s">
        <v>356</v>
      </c>
      <c r="C23" s="75">
        <f>0</f>
        <v>0</v>
      </c>
      <c r="D23" s="4">
        <f>0</f>
        <v>0</v>
      </c>
      <c r="E23" s="4">
        <f>0</f>
        <v>0</v>
      </c>
      <c r="F23" s="5">
        <f>0</f>
        <v>0</v>
      </c>
      <c r="G23" s="6">
        <f>0</f>
        <v>0</v>
      </c>
      <c r="H23" s="7">
        <f>1717</f>
        <v>1717</v>
      </c>
      <c r="I23" s="7">
        <f>20600</f>
        <v>20600</v>
      </c>
      <c r="J23" s="7">
        <f>20600</f>
        <v>20600</v>
      </c>
      <c r="K23" s="7">
        <f>20600</f>
        <v>20600</v>
      </c>
      <c r="L23" s="7">
        <f>20600</f>
        <v>20600</v>
      </c>
      <c r="M23" s="7">
        <f>20600</f>
        <v>20600</v>
      </c>
      <c r="N23" s="7">
        <f>18883</f>
        <v>18883</v>
      </c>
      <c r="O23" s="7">
        <f>9442</f>
        <v>9442</v>
      </c>
      <c r="P23" s="7">
        <f>0</f>
        <v>0</v>
      </c>
      <c r="Q23" s="7">
        <f>0</f>
        <v>0</v>
      </c>
      <c r="R23" s="7">
        <f>0</f>
        <v>0</v>
      </c>
      <c r="S23" s="7">
        <f>0</f>
        <v>0</v>
      </c>
      <c r="T23" s="7">
        <f>0</f>
        <v>0</v>
      </c>
    </row>
    <row r="24" spans="1:20" ht="18" customHeight="1">
      <c r="A24" s="123" t="s">
        <v>155</v>
      </c>
      <c r="B24" s="179" t="s">
        <v>241</v>
      </c>
      <c r="C24" s="75">
        <f>27887980.07</f>
        <v>27887980.07</v>
      </c>
      <c r="D24" s="4">
        <f>36896758.36</f>
        <v>36896758.359999999</v>
      </c>
      <c r="E24" s="4">
        <f>24202154</f>
        <v>24202154</v>
      </c>
      <c r="F24" s="5">
        <f>20313180.79</f>
        <v>20313180.789999999</v>
      </c>
      <c r="G24" s="6">
        <f>28581777</f>
        <v>28581777</v>
      </c>
      <c r="H24" s="7">
        <f>14112936</f>
        <v>14112936</v>
      </c>
      <c r="I24" s="7">
        <f>13734393</f>
        <v>13734393</v>
      </c>
      <c r="J24" s="7">
        <f>13219524</f>
        <v>13219524</v>
      </c>
      <c r="K24" s="7">
        <f>12309912</f>
        <v>12309912</v>
      </c>
      <c r="L24" s="7">
        <f>11036344</f>
        <v>11036344</v>
      </c>
      <c r="M24" s="7">
        <f>12366675</f>
        <v>12366675</v>
      </c>
      <c r="N24" s="7">
        <f>12299288</f>
        <v>12299288</v>
      </c>
      <c r="O24" s="7">
        <f>13497046</f>
        <v>13497046</v>
      </c>
      <c r="P24" s="7">
        <f>14789665</f>
        <v>14789665</v>
      </c>
      <c r="Q24" s="7">
        <f>15298603</f>
        <v>15298603</v>
      </c>
      <c r="R24" s="7">
        <f>16186081</f>
        <v>16186081</v>
      </c>
      <c r="S24" s="7">
        <f>22825732</f>
        <v>22825732</v>
      </c>
      <c r="T24" s="7">
        <f>23148623</f>
        <v>23148623</v>
      </c>
    </row>
    <row r="25" spans="1:20" ht="40.5" customHeight="1">
      <c r="A25" s="123" t="s">
        <v>242</v>
      </c>
      <c r="B25" s="124" t="s">
        <v>243</v>
      </c>
      <c r="C25" s="75">
        <f>25897530.07</f>
        <v>25897530.07</v>
      </c>
      <c r="D25" s="4">
        <f>34906308.36</f>
        <v>34906308.359999999</v>
      </c>
      <c r="E25" s="4">
        <f>20505604</f>
        <v>20505604</v>
      </c>
      <c r="F25" s="5">
        <f>16254730.79</f>
        <v>16254730.789999999</v>
      </c>
      <c r="G25" s="6">
        <f>20206377</f>
        <v>20206377</v>
      </c>
      <c r="H25" s="7">
        <f>14112936</f>
        <v>14112936</v>
      </c>
      <c r="I25" s="7">
        <f>13734393</f>
        <v>13734393</v>
      </c>
      <c r="J25" s="7">
        <f>13219524</f>
        <v>13219524</v>
      </c>
      <c r="K25" s="7">
        <f>12309911</f>
        <v>12309911</v>
      </c>
      <c r="L25" s="7">
        <f>11036344</f>
        <v>11036344</v>
      </c>
      <c r="M25" s="7">
        <f>12366675</f>
        <v>12366675</v>
      </c>
      <c r="N25" s="7">
        <f>12299288</f>
        <v>12299288</v>
      </c>
      <c r="O25" s="7">
        <f>13497046</f>
        <v>13497046</v>
      </c>
      <c r="P25" s="7">
        <f>14789665</f>
        <v>14789665</v>
      </c>
      <c r="Q25" s="7">
        <f>15298603</f>
        <v>15298603</v>
      </c>
      <c r="R25" s="7">
        <f>16186081</f>
        <v>16186081</v>
      </c>
      <c r="S25" s="7">
        <f>22825732</f>
        <v>22825732</v>
      </c>
      <c r="T25" s="7">
        <f>23148623</f>
        <v>23148623</v>
      </c>
    </row>
    <row r="26" spans="1:20" ht="33.75" customHeight="1">
      <c r="A26" s="123" t="s">
        <v>244</v>
      </c>
      <c r="B26" s="180" t="s">
        <v>245</v>
      </c>
      <c r="C26" s="75">
        <f>582834</f>
        <v>582834</v>
      </c>
      <c r="D26" s="4">
        <f>627019.04</f>
        <v>627019.04</v>
      </c>
      <c r="E26" s="4">
        <f>280572</f>
        <v>280572</v>
      </c>
      <c r="F26" s="5">
        <f>152703.67</f>
        <v>152703.67000000001</v>
      </c>
      <c r="G26" s="6">
        <f>1040255</f>
        <v>1040255</v>
      </c>
      <c r="H26" s="7">
        <f>1097666</f>
        <v>1097666</v>
      </c>
      <c r="I26" s="7">
        <f>1000000</f>
        <v>1000000</v>
      </c>
      <c r="J26" s="7">
        <f>0</f>
        <v>0</v>
      </c>
      <c r="K26" s="7">
        <f>0</f>
        <v>0</v>
      </c>
      <c r="L26" s="7">
        <f>0</f>
        <v>0</v>
      </c>
      <c r="M26" s="7">
        <f>0</f>
        <v>0</v>
      </c>
      <c r="N26" s="7">
        <f>0</f>
        <v>0</v>
      </c>
      <c r="O26" s="7">
        <f>0</f>
        <v>0</v>
      </c>
      <c r="P26" s="7">
        <f>0</f>
        <v>0</v>
      </c>
      <c r="Q26" s="7">
        <f>0</f>
        <v>0</v>
      </c>
      <c r="R26" s="7">
        <f>0</f>
        <v>0</v>
      </c>
      <c r="S26" s="7">
        <f>0</f>
        <v>0</v>
      </c>
      <c r="T26" s="7">
        <f>0</f>
        <v>0</v>
      </c>
    </row>
    <row r="27" spans="1:20" ht="24" customHeight="1">
      <c r="A27" s="126">
        <v>3</v>
      </c>
      <c r="B27" s="127" t="s">
        <v>156</v>
      </c>
      <c r="C27" s="76">
        <f>3000832.44</f>
        <v>3000832.44</v>
      </c>
      <c r="D27" s="1">
        <f>-5961672.64</f>
        <v>-5961672.6399999997</v>
      </c>
      <c r="E27" s="1">
        <f>-5214591</f>
        <v>-5214591</v>
      </c>
      <c r="F27" s="2">
        <f>5420214.58</f>
        <v>5420214.5800000001</v>
      </c>
      <c r="G27" s="139">
        <f>-11612684</f>
        <v>-11612684</v>
      </c>
      <c r="H27" s="3">
        <f>242000</f>
        <v>242000</v>
      </c>
      <c r="I27" s="3">
        <f>1482000</f>
        <v>1482000</v>
      </c>
      <c r="J27" s="3">
        <f>1622000</f>
        <v>1622000</v>
      </c>
      <c r="K27" s="3">
        <f>4512000</f>
        <v>4512000</v>
      </c>
      <c r="L27" s="3">
        <f>4872000</f>
        <v>4872000</v>
      </c>
      <c r="M27" s="3">
        <f>4940000</f>
        <v>4940000</v>
      </c>
      <c r="N27" s="3">
        <f>6140000</f>
        <v>6140000</v>
      </c>
      <c r="O27" s="3">
        <f>6140000</f>
        <v>6140000</v>
      </c>
      <c r="P27" s="3">
        <f>5900000</f>
        <v>5900000</v>
      </c>
      <c r="Q27" s="3">
        <f>6480000</f>
        <v>6480000</v>
      </c>
      <c r="R27" s="3">
        <f>7500000</f>
        <v>7500000</v>
      </c>
      <c r="S27" s="3">
        <f>1540000</f>
        <v>1540000</v>
      </c>
      <c r="T27" s="3">
        <f>1540000</f>
        <v>1540000</v>
      </c>
    </row>
    <row r="28" spans="1:20" ht="42.75" customHeight="1">
      <c r="A28" s="123" t="s">
        <v>246</v>
      </c>
      <c r="B28" s="179" t="s">
        <v>247</v>
      </c>
      <c r="C28" s="75">
        <f>3000832.44</f>
        <v>3000832.44</v>
      </c>
      <c r="D28" s="4">
        <f>0</f>
        <v>0</v>
      </c>
      <c r="E28" s="4">
        <f>0</f>
        <v>0</v>
      </c>
      <c r="F28" s="5">
        <f>5420214.58</f>
        <v>5420214.5800000001</v>
      </c>
      <c r="G28" s="6">
        <f>0</f>
        <v>0</v>
      </c>
      <c r="H28" s="7">
        <f>242000</f>
        <v>242000</v>
      </c>
      <c r="I28" s="7">
        <f>1482000</f>
        <v>1482000</v>
      </c>
      <c r="J28" s="7">
        <f>1622000</f>
        <v>1622000</v>
      </c>
      <c r="K28" s="7">
        <f>4512000</f>
        <v>4512000</v>
      </c>
      <c r="L28" s="7">
        <f>4872000</f>
        <v>4872000</v>
      </c>
      <c r="M28" s="7">
        <f>4940000</f>
        <v>4940000</v>
      </c>
      <c r="N28" s="7">
        <f>6140000</f>
        <v>6140000</v>
      </c>
      <c r="O28" s="7">
        <f>6140000</f>
        <v>6140000</v>
      </c>
      <c r="P28" s="7">
        <f>5900000</f>
        <v>5900000</v>
      </c>
      <c r="Q28" s="7">
        <f>6480000</f>
        <v>6480000</v>
      </c>
      <c r="R28" s="7">
        <f>7500000</f>
        <v>7500000</v>
      </c>
      <c r="S28" s="7">
        <f>1540000</f>
        <v>1540000</v>
      </c>
      <c r="T28" s="7">
        <f>1540000</f>
        <v>1540000</v>
      </c>
    </row>
    <row r="29" spans="1:20" ht="18" customHeight="1">
      <c r="A29" s="126">
        <v>4</v>
      </c>
      <c r="B29" s="127" t="s">
        <v>157</v>
      </c>
      <c r="C29" s="76">
        <f>10166608.92</f>
        <v>10166608.92</v>
      </c>
      <c r="D29" s="1">
        <f>17440165.36</f>
        <v>17440165.359999999</v>
      </c>
      <c r="E29" s="1">
        <f>11002861</f>
        <v>11002861</v>
      </c>
      <c r="F29" s="2">
        <f>12707557.72</f>
        <v>12707557.720000001</v>
      </c>
      <c r="G29" s="139">
        <f>16867296</f>
        <v>16867296</v>
      </c>
      <c r="H29" s="3">
        <f>4300000</f>
        <v>4300000</v>
      </c>
      <c r="I29" s="3">
        <f>3300000</f>
        <v>3300000</v>
      </c>
      <c r="J29" s="3">
        <f>2700000</f>
        <v>2700000</v>
      </c>
      <c r="K29" s="3">
        <f>0</f>
        <v>0</v>
      </c>
      <c r="L29" s="3">
        <f>0</f>
        <v>0</v>
      </c>
      <c r="M29" s="3">
        <f>0</f>
        <v>0</v>
      </c>
      <c r="N29" s="3">
        <f>0</f>
        <v>0</v>
      </c>
      <c r="O29" s="3">
        <f>0</f>
        <v>0</v>
      </c>
      <c r="P29" s="3">
        <f>0</f>
        <v>0</v>
      </c>
      <c r="Q29" s="3">
        <f>0</f>
        <v>0</v>
      </c>
      <c r="R29" s="3">
        <f>0</f>
        <v>0</v>
      </c>
      <c r="S29" s="3">
        <f>0</f>
        <v>0</v>
      </c>
      <c r="T29" s="3">
        <f>0</f>
        <v>0</v>
      </c>
    </row>
    <row r="30" spans="1:20" ht="32.1" customHeight="1">
      <c r="A30" s="123" t="s">
        <v>158</v>
      </c>
      <c r="B30" s="179" t="s">
        <v>248</v>
      </c>
      <c r="C30" s="75">
        <f>5700000</f>
        <v>5700000</v>
      </c>
      <c r="D30" s="4">
        <f>10950000</f>
        <v>10950000</v>
      </c>
      <c r="E30" s="4">
        <f>7790000</f>
        <v>7790000</v>
      </c>
      <c r="F30" s="5">
        <f>7790000</f>
        <v>7790000</v>
      </c>
      <c r="G30" s="6">
        <f>8000000</f>
        <v>8000000</v>
      </c>
      <c r="H30" s="7">
        <f>4300000</f>
        <v>4300000</v>
      </c>
      <c r="I30" s="7">
        <f>3300000</f>
        <v>3300000</v>
      </c>
      <c r="J30" s="7">
        <f>2700000</f>
        <v>2700000</v>
      </c>
      <c r="K30" s="7">
        <f>0</f>
        <v>0</v>
      </c>
      <c r="L30" s="7">
        <f>0</f>
        <v>0</v>
      </c>
      <c r="M30" s="7">
        <f>0</f>
        <v>0</v>
      </c>
      <c r="N30" s="7">
        <f>0</f>
        <v>0</v>
      </c>
      <c r="O30" s="7">
        <f>0</f>
        <v>0</v>
      </c>
      <c r="P30" s="7">
        <f>0</f>
        <v>0</v>
      </c>
      <c r="Q30" s="7">
        <f>0</f>
        <v>0</v>
      </c>
      <c r="R30" s="7">
        <f>0</f>
        <v>0</v>
      </c>
      <c r="S30" s="7">
        <f>0</f>
        <v>0</v>
      </c>
      <c r="T30" s="7">
        <f>0</f>
        <v>0</v>
      </c>
    </row>
    <row r="31" spans="1:20" ht="18" customHeight="1">
      <c r="A31" s="123" t="s">
        <v>159</v>
      </c>
      <c r="B31" s="124" t="s">
        <v>249</v>
      </c>
      <c r="C31" s="75">
        <f>0</f>
        <v>0</v>
      </c>
      <c r="D31" s="4">
        <f>5961672.64</f>
        <v>5961672.6399999997</v>
      </c>
      <c r="E31" s="4">
        <f>5214591</f>
        <v>5214591</v>
      </c>
      <c r="F31" s="5">
        <f>0</f>
        <v>0</v>
      </c>
      <c r="G31" s="6">
        <f>6620782</f>
        <v>6620782</v>
      </c>
      <c r="H31" s="7">
        <f>0</f>
        <v>0</v>
      </c>
      <c r="I31" s="7">
        <f>0</f>
        <v>0</v>
      </c>
      <c r="J31" s="7">
        <f>0</f>
        <v>0</v>
      </c>
      <c r="K31" s="7">
        <f>0</f>
        <v>0</v>
      </c>
      <c r="L31" s="7">
        <f>0</f>
        <v>0</v>
      </c>
      <c r="M31" s="7">
        <f>0</f>
        <v>0</v>
      </c>
      <c r="N31" s="7">
        <f>0</f>
        <v>0</v>
      </c>
      <c r="O31" s="7">
        <f>0</f>
        <v>0</v>
      </c>
      <c r="P31" s="7">
        <f>0</f>
        <v>0</v>
      </c>
      <c r="Q31" s="7">
        <f>0</f>
        <v>0</v>
      </c>
      <c r="R31" s="7">
        <f>0</f>
        <v>0</v>
      </c>
      <c r="S31" s="7">
        <f>0</f>
        <v>0</v>
      </c>
      <c r="T31" s="7">
        <f>0</f>
        <v>0</v>
      </c>
    </row>
    <row r="32" spans="1:20" ht="18" customHeight="1">
      <c r="A32" s="123" t="s">
        <v>160</v>
      </c>
      <c r="B32" s="179" t="s">
        <v>250</v>
      </c>
      <c r="C32" s="75">
        <f>0</f>
        <v>0</v>
      </c>
      <c r="D32" s="4">
        <f>0</f>
        <v>0</v>
      </c>
      <c r="E32" s="4">
        <f>0</f>
        <v>0</v>
      </c>
      <c r="F32" s="5">
        <f>0</f>
        <v>0</v>
      </c>
      <c r="G32" s="6">
        <f>4991902</f>
        <v>4991902</v>
      </c>
      <c r="H32" s="7">
        <f>0</f>
        <v>0</v>
      </c>
      <c r="I32" s="7">
        <f>0</f>
        <v>0</v>
      </c>
      <c r="J32" s="7">
        <f>0</f>
        <v>0</v>
      </c>
      <c r="K32" s="7">
        <f>0</f>
        <v>0</v>
      </c>
      <c r="L32" s="7">
        <f>0</f>
        <v>0</v>
      </c>
      <c r="M32" s="7">
        <f>0</f>
        <v>0</v>
      </c>
      <c r="N32" s="7">
        <f>0</f>
        <v>0</v>
      </c>
      <c r="O32" s="7">
        <f>0</f>
        <v>0</v>
      </c>
      <c r="P32" s="7">
        <f>0</f>
        <v>0</v>
      </c>
      <c r="Q32" s="7">
        <f>0</f>
        <v>0</v>
      </c>
      <c r="R32" s="7">
        <f>0</f>
        <v>0</v>
      </c>
      <c r="S32" s="7">
        <f>0</f>
        <v>0</v>
      </c>
      <c r="T32" s="7">
        <f>0</f>
        <v>0</v>
      </c>
    </row>
    <row r="33" spans="1:20" ht="18" customHeight="1">
      <c r="A33" s="123" t="s">
        <v>161</v>
      </c>
      <c r="B33" s="124" t="s">
        <v>249</v>
      </c>
      <c r="C33" s="75">
        <f>0</f>
        <v>0</v>
      </c>
      <c r="D33" s="4">
        <f>0</f>
        <v>0</v>
      </c>
      <c r="E33" s="4">
        <f>0</f>
        <v>0</v>
      </c>
      <c r="F33" s="5">
        <f>0</f>
        <v>0</v>
      </c>
      <c r="G33" s="6">
        <f>4991902</f>
        <v>4991902</v>
      </c>
      <c r="H33" s="7">
        <f>0</f>
        <v>0</v>
      </c>
      <c r="I33" s="7">
        <f>0</f>
        <v>0</v>
      </c>
      <c r="J33" s="7">
        <f>0</f>
        <v>0</v>
      </c>
      <c r="K33" s="7">
        <f>0</f>
        <v>0</v>
      </c>
      <c r="L33" s="7">
        <f>0</f>
        <v>0</v>
      </c>
      <c r="M33" s="7">
        <f>0</f>
        <v>0</v>
      </c>
      <c r="N33" s="7">
        <f>0</f>
        <v>0</v>
      </c>
      <c r="O33" s="7">
        <f>0</f>
        <v>0</v>
      </c>
      <c r="P33" s="7">
        <f>0</f>
        <v>0</v>
      </c>
      <c r="Q33" s="7">
        <f>0</f>
        <v>0</v>
      </c>
      <c r="R33" s="7">
        <f>0</f>
        <v>0</v>
      </c>
      <c r="S33" s="7">
        <f>0</f>
        <v>0</v>
      </c>
      <c r="T33" s="7">
        <f>0</f>
        <v>0</v>
      </c>
    </row>
    <row r="34" spans="1:20" ht="33.75" customHeight="1">
      <c r="A34" s="123" t="s">
        <v>162</v>
      </c>
      <c r="B34" s="179" t="s">
        <v>251</v>
      </c>
      <c r="C34" s="75">
        <f>4466608.92</f>
        <v>4466608.92</v>
      </c>
      <c r="D34" s="4">
        <f>6490165.36</f>
        <v>6490165.3600000003</v>
      </c>
      <c r="E34" s="4">
        <f>3212861</f>
        <v>3212861</v>
      </c>
      <c r="F34" s="5">
        <f>4917557.72</f>
        <v>4917557.72</v>
      </c>
      <c r="G34" s="6">
        <f>3875394</f>
        <v>3875394</v>
      </c>
      <c r="H34" s="7">
        <f>0</f>
        <v>0</v>
      </c>
      <c r="I34" s="7">
        <f>0</f>
        <v>0</v>
      </c>
      <c r="J34" s="7">
        <f>0</f>
        <v>0</v>
      </c>
      <c r="K34" s="7">
        <f>0</f>
        <v>0</v>
      </c>
      <c r="L34" s="7">
        <f>0</f>
        <v>0</v>
      </c>
      <c r="M34" s="7">
        <f>0</f>
        <v>0</v>
      </c>
      <c r="N34" s="7">
        <f>0</f>
        <v>0</v>
      </c>
      <c r="O34" s="7">
        <f>0</f>
        <v>0</v>
      </c>
      <c r="P34" s="7">
        <f>0</f>
        <v>0</v>
      </c>
      <c r="Q34" s="7">
        <f>0</f>
        <v>0</v>
      </c>
      <c r="R34" s="7">
        <f>0</f>
        <v>0</v>
      </c>
      <c r="S34" s="7">
        <f>0</f>
        <v>0</v>
      </c>
      <c r="T34" s="7">
        <f>0</f>
        <v>0</v>
      </c>
    </row>
    <row r="35" spans="1:20" ht="18" customHeight="1">
      <c r="A35" s="123" t="s">
        <v>163</v>
      </c>
      <c r="B35" s="124" t="s">
        <v>249</v>
      </c>
      <c r="C35" s="75">
        <f>0</f>
        <v>0</v>
      </c>
      <c r="D35" s="4">
        <f>0</f>
        <v>0</v>
      </c>
      <c r="E35" s="4">
        <f>0</f>
        <v>0</v>
      </c>
      <c r="F35" s="5">
        <f>0</f>
        <v>0</v>
      </c>
      <c r="G35" s="6">
        <f>0</f>
        <v>0</v>
      </c>
      <c r="H35" s="7">
        <f>0</f>
        <v>0</v>
      </c>
      <c r="I35" s="7">
        <f>0</f>
        <v>0</v>
      </c>
      <c r="J35" s="7">
        <f>0</f>
        <v>0</v>
      </c>
      <c r="K35" s="7">
        <f>0</f>
        <v>0</v>
      </c>
      <c r="L35" s="7">
        <f>0</f>
        <v>0</v>
      </c>
      <c r="M35" s="7">
        <f>0</f>
        <v>0</v>
      </c>
      <c r="N35" s="7">
        <f>0</f>
        <v>0</v>
      </c>
      <c r="O35" s="7">
        <f>0</f>
        <v>0</v>
      </c>
      <c r="P35" s="7">
        <f>0</f>
        <v>0</v>
      </c>
      <c r="Q35" s="7">
        <f>0</f>
        <v>0</v>
      </c>
      <c r="R35" s="7">
        <f>0</f>
        <v>0</v>
      </c>
      <c r="S35" s="7">
        <f>0</f>
        <v>0</v>
      </c>
      <c r="T35" s="7">
        <f>0</f>
        <v>0</v>
      </c>
    </row>
    <row r="36" spans="1:20" ht="31.5" customHeight="1">
      <c r="A36" s="123" t="s">
        <v>164</v>
      </c>
      <c r="B36" s="179" t="s">
        <v>252</v>
      </c>
      <c r="C36" s="75">
        <f>0</f>
        <v>0</v>
      </c>
      <c r="D36" s="4">
        <f>0</f>
        <v>0</v>
      </c>
      <c r="E36" s="4">
        <f>0</f>
        <v>0</v>
      </c>
      <c r="F36" s="5">
        <f>0</f>
        <v>0</v>
      </c>
      <c r="G36" s="6">
        <f>0</f>
        <v>0</v>
      </c>
      <c r="H36" s="7">
        <f>0</f>
        <v>0</v>
      </c>
      <c r="I36" s="7">
        <f>0</f>
        <v>0</v>
      </c>
      <c r="J36" s="7">
        <f>0</f>
        <v>0</v>
      </c>
      <c r="K36" s="7">
        <f>0</f>
        <v>0</v>
      </c>
      <c r="L36" s="7">
        <f>0</f>
        <v>0</v>
      </c>
      <c r="M36" s="7">
        <f>0</f>
        <v>0</v>
      </c>
      <c r="N36" s="7">
        <f>0</f>
        <v>0</v>
      </c>
      <c r="O36" s="7">
        <f>0</f>
        <v>0</v>
      </c>
      <c r="P36" s="7">
        <f>0</f>
        <v>0</v>
      </c>
      <c r="Q36" s="7">
        <f>0</f>
        <v>0</v>
      </c>
      <c r="R36" s="7">
        <f>0</f>
        <v>0</v>
      </c>
      <c r="S36" s="7">
        <f>0</f>
        <v>0</v>
      </c>
      <c r="T36" s="7">
        <f>0</f>
        <v>0</v>
      </c>
    </row>
    <row r="37" spans="1:20" ht="18" customHeight="1">
      <c r="A37" s="123" t="s">
        <v>165</v>
      </c>
      <c r="B37" s="124" t="s">
        <v>249</v>
      </c>
      <c r="C37" s="75">
        <f>0</f>
        <v>0</v>
      </c>
      <c r="D37" s="4">
        <f>0</f>
        <v>0</v>
      </c>
      <c r="E37" s="4">
        <f>0</f>
        <v>0</v>
      </c>
      <c r="F37" s="5">
        <f>0</f>
        <v>0</v>
      </c>
      <c r="G37" s="6">
        <f>0</f>
        <v>0</v>
      </c>
      <c r="H37" s="7">
        <f>0</f>
        <v>0</v>
      </c>
      <c r="I37" s="7">
        <f>0</f>
        <v>0</v>
      </c>
      <c r="J37" s="7">
        <f>0</f>
        <v>0</v>
      </c>
      <c r="K37" s="7">
        <f>0</f>
        <v>0</v>
      </c>
      <c r="L37" s="7">
        <f>0</f>
        <v>0</v>
      </c>
      <c r="M37" s="7">
        <f>0</f>
        <v>0</v>
      </c>
      <c r="N37" s="7">
        <f>0</f>
        <v>0</v>
      </c>
      <c r="O37" s="7">
        <f>0</f>
        <v>0</v>
      </c>
      <c r="P37" s="7">
        <f>0</f>
        <v>0</v>
      </c>
      <c r="Q37" s="7">
        <f>0</f>
        <v>0</v>
      </c>
      <c r="R37" s="7">
        <f>0</f>
        <v>0</v>
      </c>
      <c r="S37" s="7">
        <f>0</f>
        <v>0</v>
      </c>
      <c r="T37" s="7">
        <f>0</f>
        <v>0</v>
      </c>
    </row>
    <row r="38" spans="1:20" ht="31.5" customHeight="1">
      <c r="A38" s="123" t="s">
        <v>253</v>
      </c>
      <c r="B38" s="179" t="s">
        <v>254</v>
      </c>
      <c r="C38" s="75">
        <f>0</f>
        <v>0</v>
      </c>
      <c r="D38" s="4">
        <f>0</f>
        <v>0</v>
      </c>
      <c r="E38" s="4">
        <f>0</f>
        <v>0</v>
      </c>
      <c r="F38" s="5">
        <f>0</f>
        <v>0</v>
      </c>
      <c r="G38" s="6">
        <f>0</f>
        <v>0</v>
      </c>
      <c r="H38" s="7">
        <f>0</f>
        <v>0</v>
      </c>
      <c r="I38" s="7">
        <f>0</f>
        <v>0</v>
      </c>
      <c r="J38" s="7">
        <f>0</f>
        <v>0</v>
      </c>
      <c r="K38" s="7">
        <f>0</f>
        <v>0</v>
      </c>
      <c r="L38" s="7">
        <f>0</f>
        <v>0</v>
      </c>
      <c r="M38" s="7">
        <f>0</f>
        <v>0</v>
      </c>
      <c r="N38" s="7">
        <f>0</f>
        <v>0</v>
      </c>
      <c r="O38" s="7">
        <f>0</f>
        <v>0</v>
      </c>
      <c r="P38" s="7">
        <f>0</f>
        <v>0</v>
      </c>
      <c r="Q38" s="7">
        <f>0</f>
        <v>0</v>
      </c>
      <c r="R38" s="7">
        <f>0</f>
        <v>0</v>
      </c>
      <c r="S38" s="7">
        <f>0</f>
        <v>0</v>
      </c>
      <c r="T38" s="7">
        <f>0</f>
        <v>0</v>
      </c>
    </row>
    <row r="39" spans="1:20" ht="18" customHeight="1">
      <c r="A39" s="123" t="s">
        <v>255</v>
      </c>
      <c r="B39" s="124" t="s">
        <v>249</v>
      </c>
      <c r="C39" s="75">
        <f>0</f>
        <v>0</v>
      </c>
      <c r="D39" s="4">
        <f>0</f>
        <v>0</v>
      </c>
      <c r="E39" s="4">
        <f>0</f>
        <v>0</v>
      </c>
      <c r="F39" s="5">
        <f>0</f>
        <v>0</v>
      </c>
      <c r="G39" s="6">
        <f>0</f>
        <v>0</v>
      </c>
      <c r="H39" s="7">
        <f>0</f>
        <v>0</v>
      </c>
      <c r="I39" s="7">
        <f>0</f>
        <v>0</v>
      </c>
      <c r="J39" s="7">
        <f>0</f>
        <v>0</v>
      </c>
      <c r="K39" s="7">
        <f>0</f>
        <v>0</v>
      </c>
      <c r="L39" s="7">
        <f>0</f>
        <v>0</v>
      </c>
      <c r="M39" s="7">
        <f>0</f>
        <v>0</v>
      </c>
      <c r="N39" s="7">
        <f>0</f>
        <v>0</v>
      </c>
      <c r="O39" s="7">
        <f>0</f>
        <v>0</v>
      </c>
      <c r="P39" s="7">
        <f>0</f>
        <v>0</v>
      </c>
      <c r="Q39" s="7">
        <f>0</f>
        <v>0</v>
      </c>
      <c r="R39" s="7">
        <f>0</f>
        <v>0</v>
      </c>
      <c r="S39" s="7">
        <f>0</f>
        <v>0</v>
      </c>
      <c r="T39" s="7">
        <f>0</f>
        <v>0</v>
      </c>
    </row>
    <row r="40" spans="1:20" ht="18" customHeight="1">
      <c r="A40" s="126">
        <v>5</v>
      </c>
      <c r="B40" s="127" t="s">
        <v>166</v>
      </c>
      <c r="C40" s="76">
        <f>6677276</f>
        <v>6677276</v>
      </c>
      <c r="D40" s="1">
        <f>6560935</f>
        <v>6560935</v>
      </c>
      <c r="E40" s="1">
        <f>5788270</f>
        <v>5788270</v>
      </c>
      <c r="F40" s="2">
        <f>5788270</f>
        <v>5788270</v>
      </c>
      <c r="G40" s="139">
        <f>5254612</f>
        <v>5254612</v>
      </c>
      <c r="H40" s="3">
        <f>4542000</f>
        <v>4542000</v>
      </c>
      <c r="I40" s="3">
        <f>4782000</f>
        <v>4782000</v>
      </c>
      <c r="J40" s="3">
        <f>4322000</f>
        <v>4322000</v>
      </c>
      <c r="K40" s="3">
        <f>4512000</f>
        <v>4512000</v>
      </c>
      <c r="L40" s="3">
        <f>4872000</f>
        <v>4872000</v>
      </c>
      <c r="M40" s="3">
        <f>4940000</f>
        <v>4940000</v>
      </c>
      <c r="N40" s="3">
        <f>6140000</f>
        <v>6140000</v>
      </c>
      <c r="O40" s="3">
        <f>6140000</f>
        <v>6140000</v>
      </c>
      <c r="P40" s="3">
        <f>5900000</f>
        <v>5900000</v>
      </c>
      <c r="Q40" s="3">
        <f>6480000</f>
        <v>6480000</v>
      </c>
      <c r="R40" s="3">
        <f>7500000</f>
        <v>7500000</v>
      </c>
      <c r="S40" s="3">
        <f>1540000</f>
        <v>1540000</v>
      </c>
      <c r="T40" s="3">
        <f>1540000</f>
        <v>1540000</v>
      </c>
    </row>
    <row r="41" spans="1:20" ht="38.25" customHeight="1">
      <c r="A41" s="123" t="s">
        <v>167</v>
      </c>
      <c r="B41" s="179" t="s">
        <v>256</v>
      </c>
      <c r="C41" s="75">
        <f>6677276</f>
        <v>6677276</v>
      </c>
      <c r="D41" s="4">
        <f>6560935</f>
        <v>6560935</v>
      </c>
      <c r="E41" s="4">
        <f>5788270</f>
        <v>5788270</v>
      </c>
      <c r="F41" s="5">
        <f>5788270</f>
        <v>5788270</v>
      </c>
      <c r="G41" s="6">
        <f>5254612</f>
        <v>5254612</v>
      </c>
      <c r="H41" s="7">
        <f>4542000</f>
        <v>4542000</v>
      </c>
      <c r="I41" s="7">
        <f>4782000</f>
        <v>4782000</v>
      </c>
      <c r="J41" s="7">
        <f>4322000</f>
        <v>4322000</v>
      </c>
      <c r="K41" s="7">
        <f>4512000</f>
        <v>4512000</v>
      </c>
      <c r="L41" s="7">
        <f>4872000</f>
        <v>4872000</v>
      </c>
      <c r="M41" s="7">
        <f>4940000</f>
        <v>4940000</v>
      </c>
      <c r="N41" s="7">
        <f>6140000</f>
        <v>6140000</v>
      </c>
      <c r="O41" s="7">
        <f>6140000</f>
        <v>6140000</v>
      </c>
      <c r="P41" s="7">
        <f>5900000</f>
        <v>5900000</v>
      </c>
      <c r="Q41" s="7">
        <f>6480000</f>
        <v>6480000</v>
      </c>
      <c r="R41" s="7">
        <f>7500000</f>
        <v>7500000</v>
      </c>
      <c r="S41" s="7">
        <f>1540000</f>
        <v>1540000</v>
      </c>
      <c r="T41" s="7">
        <f>1540000</f>
        <v>1540000</v>
      </c>
    </row>
    <row r="42" spans="1:20" ht="45.75" customHeight="1">
      <c r="A42" s="123" t="s">
        <v>168</v>
      </c>
      <c r="B42" s="124" t="s">
        <v>257</v>
      </c>
      <c r="C42" s="75">
        <f>0</f>
        <v>0</v>
      </c>
      <c r="D42" s="4">
        <f>0</f>
        <v>0</v>
      </c>
      <c r="E42" s="4">
        <f>0</f>
        <v>0</v>
      </c>
      <c r="F42" s="5">
        <f>0</f>
        <v>0</v>
      </c>
      <c r="G42" s="6">
        <f>0</f>
        <v>0</v>
      </c>
      <c r="H42" s="7">
        <f>0</f>
        <v>0</v>
      </c>
      <c r="I42" s="7">
        <f>0</f>
        <v>0</v>
      </c>
      <c r="J42" s="7">
        <f>0</f>
        <v>0</v>
      </c>
      <c r="K42" s="7">
        <f>0</f>
        <v>0</v>
      </c>
      <c r="L42" s="7">
        <f>0</f>
        <v>0</v>
      </c>
      <c r="M42" s="7">
        <f>0</f>
        <v>0</v>
      </c>
      <c r="N42" s="7">
        <f>1000000</f>
        <v>1000000</v>
      </c>
      <c r="O42" s="7">
        <f>1000000</f>
        <v>1000000</v>
      </c>
      <c r="P42" s="7">
        <f>0</f>
        <v>0</v>
      </c>
      <c r="Q42" s="7">
        <f>0</f>
        <v>0</v>
      </c>
      <c r="R42" s="7">
        <f>0</f>
        <v>0</v>
      </c>
      <c r="S42" s="7">
        <f>0</f>
        <v>0</v>
      </c>
      <c r="T42" s="7">
        <f>0</f>
        <v>0</v>
      </c>
    </row>
    <row r="43" spans="1:20" ht="50.25" customHeight="1">
      <c r="A43" s="123" t="s">
        <v>169</v>
      </c>
      <c r="B43" s="180" t="s">
        <v>258</v>
      </c>
      <c r="C43" s="75">
        <f>0</f>
        <v>0</v>
      </c>
      <c r="D43" s="4">
        <f>0</f>
        <v>0</v>
      </c>
      <c r="E43" s="4">
        <f>0</f>
        <v>0</v>
      </c>
      <c r="F43" s="5">
        <f>0</f>
        <v>0</v>
      </c>
      <c r="G43" s="6">
        <f>0</f>
        <v>0</v>
      </c>
      <c r="H43" s="7">
        <f>0</f>
        <v>0</v>
      </c>
      <c r="I43" s="7">
        <f>0</f>
        <v>0</v>
      </c>
      <c r="J43" s="7">
        <f>0</f>
        <v>0</v>
      </c>
      <c r="K43" s="7">
        <f>0</f>
        <v>0</v>
      </c>
      <c r="L43" s="7">
        <f>0</f>
        <v>0</v>
      </c>
      <c r="M43" s="7">
        <f>0</f>
        <v>0</v>
      </c>
      <c r="N43" s="7">
        <f>0</f>
        <v>0</v>
      </c>
      <c r="O43" s="7">
        <f>0</f>
        <v>0</v>
      </c>
      <c r="P43" s="7">
        <f>0</f>
        <v>0</v>
      </c>
      <c r="Q43" s="7">
        <f>0</f>
        <v>0</v>
      </c>
      <c r="R43" s="7">
        <f>0</f>
        <v>0</v>
      </c>
      <c r="S43" s="7">
        <f>0</f>
        <v>0</v>
      </c>
      <c r="T43" s="7">
        <f>0</f>
        <v>0</v>
      </c>
    </row>
    <row r="44" spans="1:20" ht="45.75" customHeight="1">
      <c r="A44" s="123" t="s">
        <v>170</v>
      </c>
      <c r="B44" s="180" t="s">
        <v>259</v>
      </c>
      <c r="C44" s="75">
        <f>0</f>
        <v>0</v>
      </c>
      <c r="D44" s="4">
        <f>0</f>
        <v>0</v>
      </c>
      <c r="E44" s="4">
        <f>0</f>
        <v>0</v>
      </c>
      <c r="F44" s="5">
        <f>0</f>
        <v>0</v>
      </c>
      <c r="G44" s="6">
        <f>0</f>
        <v>0</v>
      </c>
      <c r="H44" s="7">
        <f>0</f>
        <v>0</v>
      </c>
      <c r="I44" s="7">
        <f>0</f>
        <v>0</v>
      </c>
      <c r="J44" s="7">
        <f>0</f>
        <v>0</v>
      </c>
      <c r="K44" s="7">
        <f>0</f>
        <v>0</v>
      </c>
      <c r="L44" s="7">
        <f>0</f>
        <v>0</v>
      </c>
      <c r="M44" s="7">
        <f>0</f>
        <v>0</v>
      </c>
      <c r="N44" s="7">
        <f>0</f>
        <v>0</v>
      </c>
      <c r="O44" s="7">
        <f>0</f>
        <v>0</v>
      </c>
      <c r="P44" s="7">
        <f>0</f>
        <v>0</v>
      </c>
      <c r="Q44" s="7">
        <f>0</f>
        <v>0</v>
      </c>
      <c r="R44" s="7">
        <f>0</f>
        <v>0</v>
      </c>
      <c r="S44" s="7">
        <f>0</f>
        <v>0</v>
      </c>
      <c r="T44" s="7">
        <f>0</f>
        <v>0</v>
      </c>
    </row>
    <row r="45" spans="1:20" ht="42" customHeight="1">
      <c r="A45" s="123" t="s">
        <v>171</v>
      </c>
      <c r="B45" s="180" t="s">
        <v>260</v>
      </c>
      <c r="C45" s="75">
        <f>0</f>
        <v>0</v>
      </c>
      <c r="D45" s="4">
        <f>0</f>
        <v>0</v>
      </c>
      <c r="E45" s="4">
        <f>0</f>
        <v>0</v>
      </c>
      <c r="F45" s="5">
        <f>0</f>
        <v>0</v>
      </c>
      <c r="G45" s="6">
        <f>0</f>
        <v>0</v>
      </c>
      <c r="H45" s="7">
        <f>0</f>
        <v>0</v>
      </c>
      <c r="I45" s="7">
        <f>0</f>
        <v>0</v>
      </c>
      <c r="J45" s="7">
        <f>0</f>
        <v>0</v>
      </c>
      <c r="K45" s="7">
        <f>0</f>
        <v>0</v>
      </c>
      <c r="L45" s="7">
        <f>0</f>
        <v>0</v>
      </c>
      <c r="M45" s="7">
        <f>0</f>
        <v>0</v>
      </c>
      <c r="N45" s="7">
        <f>0</f>
        <v>0</v>
      </c>
      <c r="O45" s="7">
        <f>0</f>
        <v>0</v>
      </c>
      <c r="P45" s="7">
        <f>0</f>
        <v>0</v>
      </c>
      <c r="Q45" s="7">
        <f>0</f>
        <v>0</v>
      </c>
      <c r="R45" s="7">
        <f>0</f>
        <v>0</v>
      </c>
      <c r="S45" s="7">
        <f>0</f>
        <v>0</v>
      </c>
      <c r="T45" s="7">
        <f>0</f>
        <v>0</v>
      </c>
    </row>
    <row r="46" spans="1:20" ht="18" customHeight="1">
      <c r="A46" s="123" t="s">
        <v>261</v>
      </c>
      <c r="B46" s="125" t="s">
        <v>262</v>
      </c>
      <c r="C46" s="75">
        <f>0</f>
        <v>0</v>
      </c>
      <c r="D46" s="4">
        <f>0</f>
        <v>0</v>
      </c>
      <c r="E46" s="4">
        <f>0</f>
        <v>0</v>
      </c>
      <c r="F46" s="5">
        <f>0</f>
        <v>0</v>
      </c>
      <c r="G46" s="6">
        <f>0</f>
        <v>0</v>
      </c>
      <c r="H46" s="7">
        <f>0</f>
        <v>0</v>
      </c>
      <c r="I46" s="7">
        <f>0</f>
        <v>0</v>
      </c>
      <c r="J46" s="7">
        <f>0</f>
        <v>0</v>
      </c>
      <c r="K46" s="7">
        <f>0</f>
        <v>0</v>
      </c>
      <c r="L46" s="7">
        <f>0</f>
        <v>0</v>
      </c>
      <c r="M46" s="7">
        <f>0</f>
        <v>0</v>
      </c>
      <c r="N46" s="7">
        <f>0</f>
        <v>0</v>
      </c>
      <c r="O46" s="7">
        <f>0</f>
        <v>0</v>
      </c>
      <c r="P46" s="7">
        <f>0</f>
        <v>0</v>
      </c>
      <c r="Q46" s="7">
        <f>0</f>
        <v>0</v>
      </c>
      <c r="R46" s="7">
        <f>0</f>
        <v>0</v>
      </c>
      <c r="S46" s="7">
        <f>0</f>
        <v>0</v>
      </c>
      <c r="T46" s="7">
        <f>0</f>
        <v>0</v>
      </c>
    </row>
    <row r="47" spans="1:20" ht="30" customHeight="1">
      <c r="A47" s="123" t="s">
        <v>263</v>
      </c>
      <c r="B47" s="125" t="s">
        <v>264</v>
      </c>
      <c r="C47" s="75">
        <f>0</f>
        <v>0</v>
      </c>
      <c r="D47" s="4">
        <f>0</f>
        <v>0</v>
      </c>
      <c r="E47" s="4">
        <f>0</f>
        <v>0</v>
      </c>
      <c r="F47" s="5">
        <f>0</f>
        <v>0</v>
      </c>
      <c r="G47" s="6">
        <f>0</f>
        <v>0</v>
      </c>
      <c r="H47" s="7">
        <f>0</f>
        <v>0</v>
      </c>
      <c r="I47" s="7">
        <f>0</f>
        <v>0</v>
      </c>
      <c r="J47" s="7">
        <f>0</f>
        <v>0</v>
      </c>
      <c r="K47" s="7">
        <f>0</f>
        <v>0</v>
      </c>
      <c r="L47" s="7">
        <f>0</f>
        <v>0</v>
      </c>
      <c r="M47" s="7">
        <f>0</f>
        <v>0</v>
      </c>
      <c r="N47" s="7">
        <f>0</f>
        <v>0</v>
      </c>
      <c r="O47" s="7">
        <f>0</f>
        <v>0</v>
      </c>
      <c r="P47" s="7">
        <f>0</f>
        <v>0</v>
      </c>
      <c r="Q47" s="7">
        <f>0</f>
        <v>0</v>
      </c>
      <c r="R47" s="7">
        <f>0</f>
        <v>0</v>
      </c>
      <c r="S47" s="7">
        <f>0</f>
        <v>0</v>
      </c>
      <c r="T47" s="7">
        <f>0</f>
        <v>0</v>
      </c>
    </row>
    <row r="48" spans="1:20" ht="16.5" customHeight="1">
      <c r="A48" s="123" t="s">
        <v>265</v>
      </c>
      <c r="B48" s="125" t="s">
        <v>266</v>
      </c>
      <c r="C48" s="75">
        <f>0</f>
        <v>0</v>
      </c>
      <c r="D48" s="4">
        <f>0</f>
        <v>0</v>
      </c>
      <c r="E48" s="4">
        <f>0</f>
        <v>0</v>
      </c>
      <c r="F48" s="5">
        <f>0</f>
        <v>0</v>
      </c>
      <c r="G48" s="6">
        <f>0</f>
        <v>0</v>
      </c>
      <c r="H48" s="7">
        <f>0</f>
        <v>0</v>
      </c>
      <c r="I48" s="7">
        <f>0</f>
        <v>0</v>
      </c>
      <c r="J48" s="7">
        <f>0</f>
        <v>0</v>
      </c>
      <c r="K48" s="7">
        <f>0</f>
        <v>0</v>
      </c>
      <c r="L48" s="7">
        <f>0</f>
        <v>0</v>
      </c>
      <c r="M48" s="7">
        <f>0</f>
        <v>0</v>
      </c>
      <c r="N48" s="7">
        <f>0</f>
        <v>0</v>
      </c>
      <c r="O48" s="7">
        <f>0</f>
        <v>0</v>
      </c>
      <c r="P48" s="7">
        <f>0</f>
        <v>0</v>
      </c>
      <c r="Q48" s="7">
        <f>0</f>
        <v>0</v>
      </c>
      <c r="R48" s="7">
        <f>0</f>
        <v>0</v>
      </c>
      <c r="S48" s="7">
        <f>0</f>
        <v>0</v>
      </c>
      <c r="T48" s="7">
        <f>0</f>
        <v>0</v>
      </c>
    </row>
    <row r="49" spans="1:20" ht="43.5" customHeight="1">
      <c r="A49" s="123" t="s">
        <v>357</v>
      </c>
      <c r="B49" s="180" t="s">
        <v>358</v>
      </c>
      <c r="C49" s="75">
        <f>0</f>
        <v>0</v>
      </c>
      <c r="D49" s="4">
        <f>0</f>
        <v>0</v>
      </c>
      <c r="E49" s="4">
        <f>0</f>
        <v>0</v>
      </c>
      <c r="F49" s="5">
        <f>0</f>
        <v>0</v>
      </c>
      <c r="G49" s="6">
        <f>0</f>
        <v>0</v>
      </c>
      <c r="H49" s="7">
        <f>0</f>
        <v>0</v>
      </c>
      <c r="I49" s="7">
        <f>0</f>
        <v>0</v>
      </c>
      <c r="J49" s="7">
        <f>0</f>
        <v>0</v>
      </c>
      <c r="K49" s="7">
        <f>0</f>
        <v>0</v>
      </c>
      <c r="L49" s="7">
        <f>0</f>
        <v>0</v>
      </c>
      <c r="M49" s="7">
        <f>0</f>
        <v>0</v>
      </c>
      <c r="N49" s="7">
        <f>1000000</f>
        <v>1000000</v>
      </c>
      <c r="O49" s="7">
        <f>1000000</f>
        <v>1000000</v>
      </c>
      <c r="P49" s="7">
        <f>0</f>
        <v>0</v>
      </c>
      <c r="Q49" s="7">
        <f>0</f>
        <v>0</v>
      </c>
      <c r="R49" s="7">
        <f>0</f>
        <v>0</v>
      </c>
      <c r="S49" s="7">
        <f>0</f>
        <v>0</v>
      </c>
      <c r="T49" s="7">
        <f>0</f>
        <v>0</v>
      </c>
    </row>
    <row r="50" spans="1:20" ht="18" customHeight="1">
      <c r="A50" s="123" t="s">
        <v>172</v>
      </c>
      <c r="B50" s="179" t="s">
        <v>267</v>
      </c>
      <c r="C50" s="75">
        <f>0</f>
        <v>0</v>
      </c>
      <c r="D50" s="4">
        <f>0</f>
        <v>0</v>
      </c>
      <c r="E50" s="4">
        <f>0</f>
        <v>0</v>
      </c>
      <c r="F50" s="5">
        <f>0</f>
        <v>0</v>
      </c>
      <c r="G50" s="6">
        <f>0</f>
        <v>0</v>
      </c>
      <c r="H50" s="7">
        <f>0</f>
        <v>0</v>
      </c>
      <c r="I50" s="7">
        <f>0</f>
        <v>0</v>
      </c>
      <c r="J50" s="7">
        <f>0</f>
        <v>0</v>
      </c>
      <c r="K50" s="7">
        <f>0</f>
        <v>0</v>
      </c>
      <c r="L50" s="7">
        <f>0</f>
        <v>0</v>
      </c>
      <c r="M50" s="7">
        <f>0</f>
        <v>0</v>
      </c>
      <c r="N50" s="7">
        <f>0</f>
        <v>0</v>
      </c>
      <c r="O50" s="7">
        <f>0</f>
        <v>0</v>
      </c>
      <c r="P50" s="7">
        <f>0</f>
        <v>0</v>
      </c>
      <c r="Q50" s="7">
        <f>0</f>
        <v>0</v>
      </c>
      <c r="R50" s="7">
        <f>0</f>
        <v>0</v>
      </c>
      <c r="S50" s="7">
        <f>0</f>
        <v>0</v>
      </c>
      <c r="T50" s="7">
        <f>0</f>
        <v>0</v>
      </c>
    </row>
    <row r="51" spans="1:20" ht="18" customHeight="1">
      <c r="A51" s="128" t="s">
        <v>268</v>
      </c>
      <c r="B51" s="127" t="s">
        <v>269</v>
      </c>
      <c r="C51" s="76">
        <f>46392864.69</f>
        <v>46392864.689999998</v>
      </c>
      <c r="D51" s="1">
        <f>50127167.81</f>
        <v>50127167.810000002</v>
      </c>
      <c r="E51" s="1">
        <f>51474136</f>
        <v>51474136</v>
      </c>
      <c r="F51" s="2">
        <f>51474135.93</f>
        <v>51474135.93</v>
      </c>
      <c r="G51" s="139">
        <f>53564762</f>
        <v>53564762</v>
      </c>
      <c r="H51" s="3">
        <f>52668000</f>
        <v>52668000</v>
      </c>
      <c r="I51" s="3">
        <f>51186000</f>
        <v>51186000</v>
      </c>
      <c r="J51" s="3">
        <f>49564000</f>
        <v>49564000</v>
      </c>
      <c r="K51" s="3">
        <f>45052000</f>
        <v>45052000</v>
      </c>
      <c r="L51" s="3">
        <f>40180000</f>
        <v>40180000</v>
      </c>
      <c r="M51" s="3">
        <f>35240000</f>
        <v>35240000</v>
      </c>
      <c r="N51" s="3">
        <f>29100000</f>
        <v>29100000</v>
      </c>
      <c r="O51" s="3">
        <f>22960000</f>
        <v>22960000</v>
      </c>
      <c r="P51" s="3">
        <f>17060000</f>
        <v>17060000</v>
      </c>
      <c r="Q51" s="3">
        <f>10580000</f>
        <v>10580000</v>
      </c>
      <c r="R51" s="3">
        <f>3080000</f>
        <v>3080000</v>
      </c>
      <c r="S51" s="3">
        <f>1540000</f>
        <v>1540000</v>
      </c>
      <c r="T51" s="3">
        <f>0</f>
        <v>0</v>
      </c>
    </row>
    <row r="52" spans="1:20" ht="31.5" customHeight="1">
      <c r="A52" s="123" t="s">
        <v>270</v>
      </c>
      <c r="B52" s="179" t="s">
        <v>271</v>
      </c>
      <c r="C52" s="75">
        <f>2619047.69</f>
        <v>2619047.69</v>
      </c>
      <c r="D52" s="4">
        <f>1964285.81</f>
        <v>1964285.81</v>
      </c>
      <c r="E52" s="4">
        <f>1309524</f>
        <v>1309524</v>
      </c>
      <c r="F52" s="5">
        <f>1309524</f>
        <v>1309524</v>
      </c>
      <c r="G52" s="6">
        <f>654762</f>
        <v>654762</v>
      </c>
      <c r="H52" s="7">
        <f>0</f>
        <v>0</v>
      </c>
      <c r="I52" s="7">
        <f>0</f>
        <v>0</v>
      </c>
      <c r="J52" s="7">
        <f>0</f>
        <v>0</v>
      </c>
      <c r="K52" s="7">
        <f>0</f>
        <v>0</v>
      </c>
      <c r="L52" s="7">
        <f>0</f>
        <v>0</v>
      </c>
      <c r="M52" s="7">
        <f>0</f>
        <v>0</v>
      </c>
      <c r="N52" s="7">
        <f>0</f>
        <v>0</v>
      </c>
      <c r="O52" s="7">
        <f>0</f>
        <v>0</v>
      </c>
      <c r="P52" s="7">
        <f>0</f>
        <v>0</v>
      </c>
      <c r="Q52" s="7">
        <f>0</f>
        <v>0</v>
      </c>
      <c r="R52" s="7">
        <f>0</f>
        <v>0</v>
      </c>
      <c r="S52" s="7">
        <f>0</f>
        <v>0</v>
      </c>
      <c r="T52" s="7">
        <f>0</f>
        <v>0</v>
      </c>
    </row>
    <row r="53" spans="1:20" ht="33" customHeight="1">
      <c r="A53" s="126">
        <v>7</v>
      </c>
      <c r="B53" s="127" t="s">
        <v>173</v>
      </c>
      <c r="C53" s="77" t="s">
        <v>174</v>
      </c>
      <c r="D53" s="8" t="s">
        <v>174</v>
      </c>
      <c r="E53" s="8" t="s">
        <v>174</v>
      </c>
      <c r="F53" s="9" t="s">
        <v>174</v>
      </c>
      <c r="G53" s="10" t="s">
        <v>174</v>
      </c>
      <c r="H53" s="11" t="s">
        <v>174</v>
      </c>
      <c r="I53" s="11" t="s">
        <v>174</v>
      </c>
      <c r="J53" s="11" t="s">
        <v>174</v>
      </c>
      <c r="K53" s="11" t="s">
        <v>174</v>
      </c>
      <c r="L53" s="11" t="s">
        <v>174</v>
      </c>
      <c r="M53" s="11" t="s">
        <v>174</v>
      </c>
      <c r="N53" s="11" t="s">
        <v>174</v>
      </c>
      <c r="O53" s="11" t="s">
        <v>174</v>
      </c>
      <c r="P53" s="11" t="s">
        <v>174</v>
      </c>
      <c r="Q53" s="11" t="s">
        <v>174</v>
      </c>
      <c r="R53" s="11" t="s">
        <v>174</v>
      </c>
      <c r="S53" s="11" t="s">
        <v>174</v>
      </c>
      <c r="T53" s="11" t="s">
        <v>174</v>
      </c>
    </row>
    <row r="54" spans="1:20" ht="33.75" customHeight="1">
      <c r="A54" s="129" t="s">
        <v>272</v>
      </c>
      <c r="B54" s="181" t="s">
        <v>273</v>
      </c>
      <c r="C54" s="75">
        <f>11835222.31</f>
        <v>11835222.310000001</v>
      </c>
      <c r="D54" s="4">
        <f>12233922.28</f>
        <v>12233922.279999999</v>
      </c>
      <c r="E54" s="4">
        <f>5790592</f>
        <v>5790592</v>
      </c>
      <c r="F54" s="5">
        <f>13758395.25</f>
        <v>13758395.25</v>
      </c>
      <c r="G54" s="6">
        <f>4230349</f>
        <v>4230349</v>
      </c>
      <c r="H54" s="7">
        <f>7577736</f>
        <v>7577736</v>
      </c>
      <c r="I54" s="7">
        <f>9316393</f>
        <v>9316393</v>
      </c>
      <c r="J54" s="7">
        <f>10721524</f>
        <v>10721524</v>
      </c>
      <c r="K54" s="7">
        <f>14631912</f>
        <v>14631912</v>
      </c>
      <c r="L54" s="7">
        <f>15358344</f>
        <v>15358344</v>
      </c>
      <c r="M54" s="7">
        <f>16556675</f>
        <v>16556675</v>
      </c>
      <c r="N54" s="7">
        <f>17939288</f>
        <v>17939288</v>
      </c>
      <c r="O54" s="7">
        <f>19137046</f>
        <v>19137046</v>
      </c>
      <c r="P54" s="7">
        <f>20189665</f>
        <v>20189665</v>
      </c>
      <c r="Q54" s="7">
        <f>21278603</f>
        <v>21278603</v>
      </c>
      <c r="R54" s="7">
        <f>23186081</f>
        <v>23186081</v>
      </c>
      <c r="S54" s="7">
        <f>23865732</f>
        <v>23865732</v>
      </c>
      <c r="T54" s="7">
        <f>24188623</f>
        <v>24188623</v>
      </c>
    </row>
    <row r="55" spans="1:20" ht="31.5" customHeight="1">
      <c r="A55" s="123" t="s">
        <v>274</v>
      </c>
      <c r="B55" s="179" t="s">
        <v>341</v>
      </c>
      <c r="C55" s="75">
        <f>16301831.23</f>
        <v>16301831.23</v>
      </c>
      <c r="D55" s="4">
        <f>18724087.64</f>
        <v>18724087.640000001</v>
      </c>
      <c r="E55" s="4">
        <f>9003453</f>
        <v>9003453</v>
      </c>
      <c r="F55" s="5">
        <f>18675952.97</f>
        <v>18675952.969999999</v>
      </c>
      <c r="G55" s="6">
        <f>13097645</f>
        <v>13097645</v>
      </c>
      <c r="H55" s="7">
        <f>7577736</f>
        <v>7577736</v>
      </c>
      <c r="I55" s="7">
        <f>9316393</f>
        <v>9316393</v>
      </c>
      <c r="J55" s="7">
        <f>10721524</f>
        <v>10721524</v>
      </c>
      <c r="K55" s="7">
        <f>14631912</f>
        <v>14631912</v>
      </c>
      <c r="L55" s="7">
        <f>15358344</f>
        <v>15358344</v>
      </c>
      <c r="M55" s="7">
        <f>16556675</f>
        <v>16556675</v>
      </c>
      <c r="N55" s="7">
        <f>17939288</f>
        <v>17939288</v>
      </c>
      <c r="O55" s="7">
        <f>19137046</f>
        <v>19137046</v>
      </c>
      <c r="P55" s="7">
        <f>20189665</f>
        <v>20189665</v>
      </c>
      <c r="Q55" s="7">
        <f>21278603</f>
        <v>21278603</v>
      </c>
      <c r="R55" s="7">
        <f>23186081</f>
        <v>23186081</v>
      </c>
      <c r="S55" s="7">
        <f>23865732</f>
        <v>23865732</v>
      </c>
      <c r="T55" s="7">
        <f>24188623</f>
        <v>24188623</v>
      </c>
    </row>
    <row r="56" spans="1:20" ht="24.75" customHeight="1">
      <c r="A56" s="126">
        <v>8</v>
      </c>
      <c r="B56" s="127" t="s">
        <v>177</v>
      </c>
      <c r="C56" s="77" t="s">
        <v>174</v>
      </c>
      <c r="D56" s="8" t="s">
        <v>174</v>
      </c>
      <c r="E56" s="8" t="s">
        <v>174</v>
      </c>
      <c r="F56" s="9" t="s">
        <v>174</v>
      </c>
      <c r="G56" s="10" t="s">
        <v>174</v>
      </c>
      <c r="H56" s="11" t="s">
        <v>174</v>
      </c>
      <c r="I56" s="11" t="s">
        <v>174</v>
      </c>
      <c r="J56" s="11" t="s">
        <v>174</v>
      </c>
      <c r="K56" s="11" t="s">
        <v>174</v>
      </c>
      <c r="L56" s="11" t="s">
        <v>174</v>
      </c>
      <c r="M56" s="11" t="s">
        <v>174</v>
      </c>
      <c r="N56" s="11" t="s">
        <v>174</v>
      </c>
      <c r="O56" s="11" t="s">
        <v>174</v>
      </c>
      <c r="P56" s="11" t="s">
        <v>174</v>
      </c>
      <c r="Q56" s="11" t="s">
        <v>174</v>
      </c>
      <c r="R56" s="11" t="s">
        <v>174</v>
      </c>
      <c r="S56" s="11" t="s">
        <v>174</v>
      </c>
      <c r="T56" s="11" t="s">
        <v>174</v>
      </c>
    </row>
    <row r="57" spans="1:20" ht="90.75" customHeight="1">
      <c r="A57" s="123" t="s">
        <v>175</v>
      </c>
      <c r="B57" s="179" t="s">
        <v>275</v>
      </c>
      <c r="C57" s="77" t="s">
        <v>174</v>
      </c>
      <c r="D57" s="8" t="s">
        <v>174</v>
      </c>
      <c r="E57" s="8" t="s">
        <v>174</v>
      </c>
      <c r="F57" s="9" t="s">
        <v>174</v>
      </c>
      <c r="G57" s="140">
        <f>0.0725</f>
        <v>7.2499999999999995E-2</v>
      </c>
      <c r="H57" s="78">
        <f>0.0648</f>
        <v>6.4799999999999996E-2</v>
      </c>
      <c r="I57" s="78">
        <f>0.0639</f>
        <v>6.3899999999999998E-2</v>
      </c>
      <c r="J57" s="78">
        <f>0.0588</f>
        <v>5.8799999999999998E-2</v>
      </c>
      <c r="K57" s="78">
        <f>0.0406</f>
        <v>4.0599999999999997E-2</v>
      </c>
      <c r="L57" s="78">
        <f>0.0453</f>
        <v>4.53E-2</v>
      </c>
      <c r="M57" s="78">
        <f>0.0445</f>
        <v>4.4499999999999998E-2</v>
      </c>
      <c r="N57" s="78">
        <f>0.0432</f>
        <v>4.3200000000000002E-2</v>
      </c>
      <c r="O57" s="78">
        <f>0.041</f>
        <v>4.1000000000000002E-2</v>
      </c>
      <c r="P57" s="78">
        <f>0.0433</f>
        <v>4.3299999999999998E-2</v>
      </c>
      <c r="Q57" s="78">
        <f>0.0442</f>
        <v>4.4200000000000003E-2</v>
      </c>
      <c r="R57" s="78">
        <f>0.0422</f>
        <v>4.2200000000000001E-2</v>
      </c>
      <c r="S57" s="78">
        <f>0.0083</f>
        <v>8.3000000000000001E-3</v>
      </c>
      <c r="T57" s="78">
        <f>0.0081</f>
        <v>8.0999999999999996E-3</v>
      </c>
    </row>
    <row r="58" spans="1:20" ht="18" customHeight="1">
      <c r="A58" s="123" t="s">
        <v>276</v>
      </c>
      <c r="B58" s="124" t="s">
        <v>276</v>
      </c>
      <c r="C58" s="77" t="s">
        <v>174</v>
      </c>
      <c r="D58" s="8" t="s">
        <v>174</v>
      </c>
      <c r="E58" s="8" t="s">
        <v>174</v>
      </c>
      <c r="F58" s="9" t="s">
        <v>174</v>
      </c>
      <c r="G58" s="140">
        <f>0.0725</f>
        <v>7.2499999999999995E-2</v>
      </c>
      <c r="H58" s="78">
        <f>0.0648</f>
        <v>6.4799999999999996E-2</v>
      </c>
      <c r="I58" s="78">
        <f>0.0639</f>
        <v>6.3899999999999998E-2</v>
      </c>
      <c r="J58" s="78">
        <f>0.0588</f>
        <v>5.8799999999999998E-2</v>
      </c>
      <c r="K58" s="78">
        <f>0.0406</f>
        <v>4.0599999999999997E-2</v>
      </c>
      <c r="L58" s="78">
        <f>0.0453</f>
        <v>4.53E-2</v>
      </c>
      <c r="M58" s="78">
        <f>0.0445</f>
        <v>4.4499999999999998E-2</v>
      </c>
      <c r="N58" s="78">
        <f>0.0432</f>
        <v>4.3200000000000002E-2</v>
      </c>
      <c r="O58" s="78">
        <f>0.041</f>
        <v>4.1000000000000002E-2</v>
      </c>
      <c r="P58" s="78">
        <f>0.0433</f>
        <v>4.3299999999999998E-2</v>
      </c>
      <c r="Q58" s="78">
        <f>0.0442</f>
        <v>4.4200000000000003E-2</v>
      </c>
      <c r="R58" s="78">
        <f>0.0422</f>
        <v>4.2200000000000001E-2</v>
      </c>
      <c r="S58" s="78">
        <f>0.0083</f>
        <v>8.3000000000000001E-3</v>
      </c>
      <c r="T58" s="78">
        <f>0.0081</f>
        <v>8.0999999999999996E-3</v>
      </c>
    </row>
    <row r="59" spans="1:20" ht="18" customHeight="1">
      <c r="A59" s="123" t="s">
        <v>277</v>
      </c>
      <c r="B59" s="124" t="s">
        <v>277</v>
      </c>
      <c r="C59" s="77" t="s">
        <v>174</v>
      </c>
      <c r="D59" s="8" t="s">
        <v>174</v>
      </c>
      <c r="E59" s="8" t="s">
        <v>174</v>
      </c>
      <c r="F59" s="9" t="s">
        <v>174</v>
      </c>
      <c r="G59" s="140">
        <f>0.0725</f>
        <v>7.2499999999999995E-2</v>
      </c>
      <c r="H59" s="78">
        <f>0.0648</f>
        <v>6.4799999999999996E-2</v>
      </c>
      <c r="I59" s="78">
        <f>0.0639</f>
        <v>6.3899999999999998E-2</v>
      </c>
      <c r="J59" s="78">
        <f>0.0588</f>
        <v>5.8799999999999998E-2</v>
      </c>
      <c r="K59" s="78">
        <f>0.0406</f>
        <v>4.0599999999999997E-2</v>
      </c>
      <c r="L59" s="78">
        <f>0.0453</f>
        <v>4.53E-2</v>
      </c>
      <c r="M59" s="78">
        <f>0.0445</f>
        <v>4.4499999999999998E-2</v>
      </c>
      <c r="N59" s="78">
        <f>0.0432</f>
        <v>4.3200000000000002E-2</v>
      </c>
      <c r="O59" s="78">
        <f>0.041</f>
        <v>4.1000000000000002E-2</v>
      </c>
      <c r="P59" s="78">
        <f>0.0433</f>
        <v>4.3299999999999998E-2</v>
      </c>
      <c r="Q59" s="78">
        <f>0.0442</f>
        <v>4.4200000000000003E-2</v>
      </c>
      <c r="R59" s="78">
        <f>0.0422</f>
        <v>4.2200000000000001E-2</v>
      </c>
      <c r="S59" s="78">
        <f>0.0083</f>
        <v>8.3000000000000001E-3</v>
      </c>
      <c r="T59" s="78">
        <f>0.0081</f>
        <v>8.0999999999999996E-3</v>
      </c>
    </row>
    <row r="60" spans="1:20" ht="54" customHeight="1">
      <c r="A60" s="123" t="s">
        <v>176</v>
      </c>
      <c r="B60" s="179" t="s">
        <v>342</v>
      </c>
      <c r="C60" s="79">
        <f>0.1307</f>
        <v>0.13070000000000001</v>
      </c>
      <c r="D60" s="80">
        <f>0.1208</f>
        <v>0.1208</v>
      </c>
      <c r="E60" s="80">
        <f>0.0616</f>
        <v>6.1600000000000002E-2</v>
      </c>
      <c r="F60" s="81">
        <f>0.1151</f>
        <v>0.11509999999999999</v>
      </c>
      <c r="G60" s="140">
        <f>0.059</f>
        <v>5.8999999999999997E-2</v>
      </c>
      <c r="H60" s="78">
        <f>0.0666</f>
        <v>6.6600000000000006E-2</v>
      </c>
      <c r="I60" s="78">
        <f>0.0764</f>
        <v>7.6399999999999996E-2</v>
      </c>
      <c r="J60" s="78">
        <f>0.0836</f>
        <v>8.3599999999999994E-2</v>
      </c>
      <c r="K60" s="78">
        <f>0.1067</f>
        <v>0.1067</v>
      </c>
      <c r="L60" s="78">
        <f>0.1077</f>
        <v>0.1077</v>
      </c>
      <c r="M60" s="78">
        <f>0.1108</f>
        <v>0.1108</v>
      </c>
      <c r="N60" s="78">
        <f>0.115</f>
        <v>0.115</v>
      </c>
      <c r="O60" s="78">
        <f>0.1182</f>
        <v>0.1182</v>
      </c>
      <c r="P60" s="78">
        <f>0.1202</f>
        <v>0.1202</v>
      </c>
      <c r="Q60" s="78">
        <f>0.1222</f>
        <v>0.1222</v>
      </c>
      <c r="R60" s="78">
        <f>0.1288</f>
        <v>0.1288</v>
      </c>
      <c r="S60" s="78">
        <f>0.1284</f>
        <v>0.12839999999999999</v>
      </c>
      <c r="T60" s="78">
        <f>0.1271</f>
        <v>0.12709999999999999</v>
      </c>
    </row>
    <row r="61" spans="1:20" ht="18" customHeight="1">
      <c r="A61" s="123" t="s">
        <v>278</v>
      </c>
      <c r="B61" s="124" t="s">
        <v>278</v>
      </c>
      <c r="C61" s="79">
        <f>0.1794</f>
        <v>0.1794</v>
      </c>
      <c r="D61" s="80">
        <f>0.1293</f>
        <v>0.1293</v>
      </c>
      <c r="E61" s="80">
        <f>0.1013</f>
        <v>0.1013</v>
      </c>
      <c r="F61" s="81">
        <f>0.1442</f>
        <v>0.14419999999999999</v>
      </c>
      <c r="G61" s="140">
        <f>0.0904</f>
        <v>9.0399999999999994E-2</v>
      </c>
      <c r="H61" s="78">
        <f>0.0832</f>
        <v>8.3199999999999996E-2</v>
      </c>
      <c r="I61" s="78">
        <f>0.0849</f>
        <v>8.4900000000000003E-2</v>
      </c>
      <c r="J61" s="78">
        <f>0.0844</f>
        <v>8.4400000000000003E-2</v>
      </c>
      <c r="K61" s="78">
        <f>0.107</f>
        <v>0.107</v>
      </c>
      <c r="L61" s="78">
        <f>0</f>
        <v>0</v>
      </c>
      <c r="M61" s="78">
        <f>0</f>
        <v>0</v>
      </c>
      <c r="N61" s="78">
        <f>0</f>
        <v>0</v>
      </c>
      <c r="O61" s="78">
        <f>0</f>
        <v>0</v>
      </c>
      <c r="P61" s="78">
        <f>0</f>
        <v>0</v>
      </c>
      <c r="Q61" s="78">
        <f>0</f>
        <v>0</v>
      </c>
      <c r="R61" s="78">
        <f>0</f>
        <v>0</v>
      </c>
      <c r="S61" s="78">
        <f>0</f>
        <v>0</v>
      </c>
      <c r="T61" s="78">
        <f>0</f>
        <v>0</v>
      </c>
    </row>
    <row r="62" spans="1:20" ht="18" customHeight="1">
      <c r="A62" s="123" t="s">
        <v>279</v>
      </c>
      <c r="B62" s="124" t="s">
        <v>279</v>
      </c>
      <c r="C62" s="79">
        <f>0.1307</f>
        <v>0.13070000000000001</v>
      </c>
      <c r="D62" s="80">
        <f>0.1208</f>
        <v>0.1208</v>
      </c>
      <c r="E62" s="80">
        <f>0.0616</f>
        <v>6.1600000000000002E-2</v>
      </c>
      <c r="F62" s="81">
        <f>0.1151</f>
        <v>0.11509999999999999</v>
      </c>
      <c r="G62" s="140">
        <f>0.059</f>
        <v>5.8999999999999997E-2</v>
      </c>
      <c r="H62" s="78">
        <f>0.0666</f>
        <v>6.6600000000000006E-2</v>
      </c>
      <c r="I62" s="78">
        <f>0.0764</f>
        <v>7.6399999999999996E-2</v>
      </c>
      <c r="J62" s="78">
        <f>0.0836</f>
        <v>8.3599999999999994E-2</v>
      </c>
      <c r="K62" s="78">
        <f>0.1067</f>
        <v>0.1067</v>
      </c>
      <c r="L62" s="78">
        <f>0.1077</f>
        <v>0.1077</v>
      </c>
      <c r="M62" s="78">
        <f>0.1108</f>
        <v>0.1108</v>
      </c>
      <c r="N62" s="78">
        <f>0.115</f>
        <v>0.115</v>
      </c>
      <c r="O62" s="78">
        <f>0.1182</f>
        <v>0.1182</v>
      </c>
      <c r="P62" s="78">
        <f>0.1202</f>
        <v>0.1202</v>
      </c>
      <c r="Q62" s="78">
        <f>0.1222</f>
        <v>0.1222</v>
      </c>
      <c r="R62" s="78">
        <f>0.1288</f>
        <v>0.1288</v>
      </c>
      <c r="S62" s="78">
        <f>0.1284</f>
        <v>0.12839999999999999</v>
      </c>
      <c r="T62" s="78">
        <f>0.1271</f>
        <v>0.12709999999999999</v>
      </c>
    </row>
    <row r="63" spans="1:20" ht="100.5" customHeight="1">
      <c r="A63" s="123" t="s">
        <v>280</v>
      </c>
      <c r="B63" s="179" t="s">
        <v>281</v>
      </c>
      <c r="C63" s="77" t="s">
        <v>174</v>
      </c>
      <c r="D63" s="8" t="s">
        <v>174</v>
      </c>
      <c r="E63" s="8" t="s">
        <v>174</v>
      </c>
      <c r="F63" s="9" t="s">
        <v>174</v>
      </c>
      <c r="G63" s="140">
        <f>0.1367</f>
        <v>0.13669999999999999</v>
      </c>
      <c r="H63" s="78">
        <f>0.107</f>
        <v>0.107</v>
      </c>
      <c r="I63" s="78">
        <f>0.0916</f>
        <v>9.1600000000000001E-2</v>
      </c>
      <c r="J63" s="78">
        <f>0.0862</f>
        <v>8.6199999999999999E-2</v>
      </c>
      <c r="K63" s="78">
        <f>0.0842</f>
        <v>8.4199999999999997E-2</v>
      </c>
      <c r="L63" s="78">
        <f>0.0921</f>
        <v>9.2100000000000001E-2</v>
      </c>
      <c r="M63" s="78">
        <f>0.0802</f>
        <v>8.0199999999999994E-2</v>
      </c>
      <c r="N63" s="78">
        <f>0.0873</f>
        <v>8.7300000000000003E-2</v>
      </c>
      <c r="O63" s="78">
        <f>0.0953</f>
        <v>9.5299999999999996E-2</v>
      </c>
      <c r="P63" s="78">
        <f>0.1026</f>
        <v>0.1026</v>
      </c>
      <c r="Q63" s="78">
        <f>0.1089</f>
        <v>0.1089</v>
      </c>
      <c r="R63" s="78">
        <f>0.1144</f>
        <v>0.1144</v>
      </c>
      <c r="S63" s="78">
        <f>0.1176</f>
        <v>0.1176</v>
      </c>
      <c r="T63" s="78">
        <f>0.1205</f>
        <v>0.1205</v>
      </c>
    </row>
    <row r="64" spans="1:20" ht="102" customHeight="1">
      <c r="A64" s="123" t="s">
        <v>282</v>
      </c>
      <c r="B64" s="124" t="s">
        <v>283</v>
      </c>
      <c r="C64" s="77" t="s">
        <v>174</v>
      </c>
      <c r="D64" s="8" t="s">
        <v>174</v>
      </c>
      <c r="E64" s="8" t="s">
        <v>174</v>
      </c>
      <c r="F64" s="9" t="s">
        <v>174</v>
      </c>
      <c r="G64" s="140">
        <f>0.151</f>
        <v>0.151</v>
      </c>
      <c r="H64" s="78">
        <f>0.1213</f>
        <v>0.12130000000000001</v>
      </c>
      <c r="I64" s="78">
        <f>0.1059</f>
        <v>0.10589999999999999</v>
      </c>
      <c r="J64" s="78">
        <f>0.0862</f>
        <v>8.6199999999999999E-2</v>
      </c>
      <c r="K64" s="78">
        <f>0.0842</f>
        <v>8.4199999999999997E-2</v>
      </c>
      <c r="L64" s="78">
        <f>0.0921</f>
        <v>9.2100000000000001E-2</v>
      </c>
      <c r="M64" s="78">
        <f>0.0879</f>
        <v>8.7900000000000006E-2</v>
      </c>
      <c r="N64" s="78">
        <f>0.0873</f>
        <v>8.7300000000000003E-2</v>
      </c>
      <c r="O64" s="78">
        <f>0.0953</f>
        <v>9.5299999999999996E-2</v>
      </c>
      <c r="P64" s="78">
        <f>0.1026</f>
        <v>0.1026</v>
      </c>
      <c r="Q64" s="78">
        <f>0.1089</f>
        <v>0.1089</v>
      </c>
      <c r="R64" s="78">
        <f>0.1144</f>
        <v>0.1144</v>
      </c>
      <c r="S64" s="78">
        <f>0.1176</f>
        <v>0.1176</v>
      </c>
      <c r="T64" s="78">
        <f>0.1205</f>
        <v>0.1205</v>
      </c>
    </row>
    <row r="65" spans="1:20" ht="105.75" customHeight="1">
      <c r="A65" s="123" t="s">
        <v>284</v>
      </c>
      <c r="B65" s="179" t="s">
        <v>183</v>
      </c>
      <c r="C65" s="77" t="s">
        <v>174</v>
      </c>
      <c r="D65" s="8" t="s">
        <v>174</v>
      </c>
      <c r="E65" s="8" t="s">
        <v>174</v>
      </c>
      <c r="F65" s="9" t="s">
        <v>174</v>
      </c>
      <c r="G65" s="141" t="str">
        <f>IF(G$57&lt;=G$63,"Spełniona","Nie spełniona")</f>
        <v>Spełniona</v>
      </c>
      <c r="H65" s="82" t="str">
        <f>IF(H$57&lt;=H$63,"Spełniona","Nie spełniona")</f>
        <v>Spełniona</v>
      </c>
      <c r="I65" s="82" t="str">
        <f>IF(I$57&lt;=I$63,"Spełniona","Nie spełniona")</f>
        <v>Spełniona</v>
      </c>
      <c r="J65" s="82" t="str">
        <f>IF(J$57&lt;=J$63,"Spełniona","Nie spełniona")</f>
        <v>Spełniona</v>
      </c>
      <c r="K65" s="82" t="str">
        <f>IF(K$57&lt;=K$63,"Spełniona","Nie spełniona")</f>
        <v>Spełniona</v>
      </c>
      <c r="L65" s="82" t="str">
        <f>IF(L$57&lt;=L$63,"Spełniona","Nie spełniona")</f>
        <v>Spełniona</v>
      </c>
      <c r="M65" s="82" t="str">
        <f>IF(M$57&lt;=M$63,"Spełniona","Nie spełniona")</f>
        <v>Spełniona</v>
      </c>
      <c r="N65" s="82" t="str">
        <f>IF(N$57&lt;=N$63,"Spełniona","Nie spełniona")</f>
        <v>Spełniona</v>
      </c>
      <c r="O65" s="82" t="str">
        <f>IF(O$57&lt;=O$63,"Spełniona","Nie spełniona")</f>
        <v>Spełniona</v>
      </c>
      <c r="P65" s="82" t="str">
        <f>IF(P$57&lt;=P$63,"Spełniona","Nie spełniona")</f>
        <v>Spełniona</v>
      </c>
      <c r="Q65" s="82" t="str">
        <f>IF(Q$57&lt;=Q$63,"Spełniona","Nie spełniona")</f>
        <v>Spełniona</v>
      </c>
      <c r="R65" s="82" t="str">
        <f>IF(R$57&lt;=R$63,"Spełniona","Nie spełniona")</f>
        <v>Spełniona</v>
      </c>
      <c r="S65" s="82" t="str">
        <f>IF(S$57&lt;=S$63,"Spełniona","Nie spełniona")</f>
        <v>Spełniona</v>
      </c>
      <c r="T65" s="82" t="str">
        <f>IF(T$57&lt;=T$63,"Spełniona","Nie spełniona")</f>
        <v>Spełniona</v>
      </c>
    </row>
    <row r="66" spans="1:20" ht="96">
      <c r="A66" s="123" t="s">
        <v>285</v>
      </c>
      <c r="B66" s="124" t="s">
        <v>184</v>
      </c>
      <c r="C66" s="77" t="s">
        <v>174</v>
      </c>
      <c r="D66" s="8" t="s">
        <v>174</v>
      </c>
      <c r="E66" s="8" t="s">
        <v>174</v>
      </c>
      <c r="F66" s="9" t="s">
        <v>174</v>
      </c>
      <c r="G66" s="141" t="str">
        <f>IF(G$57&lt;=G$64,"Spełniona","Nie spełniona")</f>
        <v>Spełniona</v>
      </c>
      <c r="H66" s="82" t="str">
        <f>IF(H$57&lt;=H$64,"Spełniona","Nie spełniona")</f>
        <v>Spełniona</v>
      </c>
      <c r="I66" s="82" t="str">
        <f>IF(I$57&lt;=I$64,"Spełniona","Nie spełniona")</f>
        <v>Spełniona</v>
      </c>
      <c r="J66" s="82" t="str">
        <f>IF(J$57&lt;=J$64,"Spełniona","Nie spełniona")</f>
        <v>Spełniona</v>
      </c>
      <c r="K66" s="82" t="str">
        <f>IF(K$57&lt;=K$64,"Spełniona","Nie spełniona")</f>
        <v>Spełniona</v>
      </c>
      <c r="L66" s="82" t="str">
        <f>IF(L$57&lt;=L$64,"Spełniona","Nie spełniona")</f>
        <v>Spełniona</v>
      </c>
      <c r="M66" s="82" t="str">
        <f>IF(M$57&lt;=M$64,"Spełniona","Nie spełniona")</f>
        <v>Spełniona</v>
      </c>
      <c r="N66" s="82" t="str">
        <f>IF(N$57&lt;=N$64,"Spełniona","Nie spełniona")</f>
        <v>Spełniona</v>
      </c>
      <c r="O66" s="82" t="str">
        <f>IF(O$57&lt;=O$64,"Spełniona","Nie spełniona")</f>
        <v>Spełniona</v>
      </c>
      <c r="P66" s="82" t="str">
        <f>IF(P$57&lt;=P$64,"Spełniona","Nie spełniona")</f>
        <v>Spełniona</v>
      </c>
      <c r="Q66" s="82" t="str">
        <f>IF(Q$57&lt;=Q$64,"Spełniona","Nie spełniona")</f>
        <v>Spełniona</v>
      </c>
      <c r="R66" s="82" t="str">
        <f>IF(R$57&lt;=R$64,"Spełniona","Nie spełniona")</f>
        <v>Spełniona</v>
      </c>
      <c r="S66" s="82" t="str">
        <f>IF(S$57&lt;=S$64,"Spełniona","Nie spełniona")</f>
        <v>Spełniona</v>
      </c>
      <c r="T66" s="82" t="str">
        <f>IF(T$57&lt;=T$64,"Spełniona","Nie spełniona")</f>
        <v>Spełniona</v>
      </c>
    </row>
    <row r="67" spans="1:20" ht="18" customHeight="1">
      <c r="A67" s="123" t="s">
        <v>359</v>
      </c>
      <c r="B67" s="179" t="s">
        <v>360</v>
      </c>
      <c r="C67" s="77" t="s">
        <v>174</v>
      </c>
      <c r="D67" s="8" t="s">
        <v>174</v>
      </c>
      <c r="E67" s="8" t="s">
        <v>174</v>
      </c>
      <c r="F67" s="9" t="s">
        <v>174</v>
      </c>
      <c r="G67" s="140">
        <f>0.3328</f>
        <v>0.33279999999999998</v>
      </c>
      <c r="H67" s="78">
        <f>0.3261</f>
        <v>0.3261</v>
      </c>
      <c r="I67" s="78">
        <f>0.3089</f>
        <v>0.30890000000000001</v>
      </c>
      <c r="J67" s="78">
        <f>0.2935</f>
        <v>0.29349999999999998</v>
      </c>
      <c r="K67" s="78">
        <f>0.2621</f>
        <v>0.2621</v>
      </c>
      <c r="L67" s="78">
        <f>0.2291</f>
        <v>0.2291</v>
      </c>
      <c r="M67" s="78">
        <f>0.1949</f>
        <v>0.19489999999999999</v>
      </c>
      <c r="N67" s="78">
        <f>0.1566</f>
        <v>0.15659999999999999</v>
      </c>
      <c r="O67" s="78">
        <f>0.1202</f>
        <v>0.1202</v>
      </c>
      <c r="P67" s="78">
        <f>0.087</f>
        <v>8.6999999999999994E-2</v>
      </c>
      <c r="Q67" s="78">
        <f>0.0525</f>
        <v>5.2499999999999998E-2</v>
      </c>
      <c r="R67" s="78">
        <f>0.0149</f>
        <v>1.49E-2</v>
      </c>
      <c r="S67" s="78">
        <f>0.0073</f>
        <v>7.3000000000000001E-3</v>
      </c>
      <c r="T67" s="78">
        <f>0</f>
        <v>0</v>
      </c>
    </row>
    <row r="68" spans="1:20" ht="98.25" customHeight="1">
      <c r="A68" s="123" t="s">
        <v>361</v>
      </c>
      <c r="B68" s="179" t="s">
        <v>362</v>
      </c>
      <c r="C68" s="77" t="s">
        <v>174</v>
      </c>
      <c r="D68" s="8" t="s">
        <v>174</v>
      </c>
      <c r="E68" s="8" t="s">
        <v>174</v>
      </c>
      <c r="F68" s="9" t="s">
        <v>174</v>
      </c>
      <c r="G68" s="140">
        <f>0.0725</f>
        <v>7.2499999999999995E-2</v>
      </c>
      <c r="H68" s="78">
        <f>0.0648</f>
        <v>6.4799999999999996E-2</v>
      </c>
      <c r="I68" s="78">
        <f>0.0641</f>
        <v>6.4100000000000004E-2</v>
      </c>
      <c r="J68" s="78">
        <f>0.059</f>
        <v>5.8999999999999997E-2</v>
      </c>
      <c r="K68" s="78">
        <f>0.0408</f>
        <v>4.0800000000000003E-2</v>
      </c>
      <c r="L68" s="78">
        <f>0.0454</f>
        <v>4.5400000000000003E-2</v>
      </c>
      <c r="M68" s="78">
        <f>0.0447</f>
        <v>4.4699999999999997E-2</v>
      </c>
      <c r="N68" s="78">
        <f>0.0494</f>
        <v>4.9399999999999999E-2</v>
      </c>
      <c r="O68" s="78">
        <f>0.0471</f>
        <v>4.7100000000000003E-2</v>
      </c>
      <c r="P68" s="78">
        <f>0.0433</f>
        <v>4.3299999999999998E-2</v>
      </c>
      <c r="Q68" s="78">
        <f>0.0442</f>
        <v>4.4200000000000003E-2</v>
      </c>
      <c r="R68" s="78">
        <f>0.0422</f>
        <v>4.2200000000000001E-2</v>
      </c>
      <c r="S68" s="78">
        <f>0.0083</f>
        <v>8.3000000000000001E-3</v>
      </c>
      <c r="T68" s="78">
        <f>0.0081</f>
        <v>8.0999999999999996E-3</v>
      </c>
    </row>
    <row r="69" spans="1:20" ht="111.75" customHeight="1">
      <c r="A69" s="123" t="s">
        <v>363</v>
      </c>
      <c r="B69" s="179" t="s">
        <v>364</v>
      </c>
      <c r="C69" s="77" t="s">
        <v>174</v>
      </c>
      <c r="D69" s="8" t="s">
        <v>174</v>
      </c>
      <c r="E69" s="8" t="s">
        <v>174</v>
      </c>
      <c r="F69" s="9" t="s">
        <v>174</v>
      </c>
      <c r="G69" s="141" t="str">
        <f>IF(G$68&lt;=G$63,"Spełniona","Nie spełniona")</f>
        <v>Spełniona</v>
      </c>
      <c r="H69" s="82" t="str">
        <f>IF(H$68&lt;=H$63,"Spełniona","Nie spełniona")</f>
        <v>Spełniona</v>
      </c>
      <c r="I69" s="82" t="str">
        <f>IF(I$68&lt;=I$63,"Spełniona","Nie spełniona")</f>
        <v>Spełniona</v>
      </c>
      <c r="J69" s="82" t="str">
        <f>IF(J$68&lt;=J$63,"Spełniona","Nie spełniona")</f>
        <v>Spełniona</v>
      </c>
      <c r="K69" s="82" t="str">
        <f>IF(K$68&lt;=K$63,"Spełniona","Nie spełniona")</f>
        <v>Spełniona</v>
      </c>
      <c r="L69" s="82" t="str">
        <f>IF(L$68&lt;=L$63,"Spełniona","Nie spełniona")</f>
        <v>Spełniona</v>
      </c>
      <c r="M69" s="82" t="str">
        <f>IF(M$68&lt;=M$63,"Spełniona","Nie spełniona")</f>
        <v>Spełniona</v>
      </c>
      <c r="N69" s="82" t="str">
        <f>IF(N$68&lt;=N$63,"Spełniona","Nie spełniona")</f>
        <v>Spełniona</v>
      </c>
      <c r="O69" s="82" t="str">
        <f>IF(O$68&lt;=O$63,"Spełniona","Nie spełniona")</f>
        <v>Spełniona</v>
      </c>
      <c r="P69" s="82" t="str">
        <f>IF(P$68&lt;=P$63,"Spełniona","Nie spełniona")</f>
        <v>Spełniona</v>
      </c>
      <c r="Q69" s="82" t="str">
        <f>IF(Q$68&lt;=Q$63,"Spełniona","Nie spełniona")</f>
        <v>Spełniona</v>
      </c>
      <c r="R69" s="82" t="str">
        <f>IF(R$68&lt;=R$63,"Spełniona","Nie spełniona")</f>
        <v>Spełniona</v>
      </c>
      <c r="S69" s="82" t="str">
        <f>IF(S$68&lt;=S$63,"Spełniona","Nie spełniona")</f>
        <v>Spełniona</v>
      </c>
      <c r="T69" s="82" t="str">
        <f>IF(T$68&lt;=T$63,"Spełniona","Nie spełniona")</f>
        <v>Spełniona</v>
      </c>
    </row>
    <row r="70" spans="1:20" ht="108.75" customHeight="1">
      <c r="A70" s="123" t="s">
        <v>365</v>
      </c>
      <c r="B70" s="124" t="s">
        <v>366</v>
      </c>
      <c r="C70" s="77" t="s">
        <v>174</v>
      </c>
      <c r="D70" s="8" t="s">
        <v>174</v>
      </c>
      <c r="E70" s="8" t="s">
        <v>174</v>
      </c>
      <c r="F70" s="9" t="s">
        <v>174</v>
      </c>
      <c r="G70" s="141" t="str">
        <f>IF(G$68&lt;=G$64,"Spełniona","Nie spełniona")</f>
        <v>Spełniona</v>
      </c>
      <c r="H70" s="82" t="str">
        <f>IF(H$68&lt;=H$64,"Spełniona","Nie spełniona")</f>
        <v>Spełniona</v>
      </c>
      <c r="I70" s="82" t="str">
        <f>IF(I$68&lt;=I$64,"Spełniona","Nie spełniona")</f>
        <v>Spełniona</v>
      </c>
      <c r="J70" s="82" t="str">
        <f>IF(J$68&lt;=J$64,"Spełniona","Nie spełniona")</f>
        <v>Spełniona</v>
      </c>
      <c r="K70" s="82" t="str">
        <f>IF(K$68&lt;=K$64,"Spełniona","Nie spełniona")</f>
        <v>Spełniona</v>
      </c>
      <c r="L70" s="82" t="str">
        <f>IF(L$68&lt;=L$64,"Spełniona","Nie spełniona")</f>
        <v>Spełniona</v>
      </c>
      <c r="M70" s="82" t="str">
        <f>IF(M$68&lt;=M$64,"Spełniona","Nie spełniona")</f>
        <v>Spełniona</v>
      </c>
      <c r="N70" s="82" t="str">
        <f>IF(N$68&lt;=N$64,"Spełniona","Nie spełniona")</f>
        <v>Spełniona</v>
      </c>
      <c r="O70" s="82" t="str">
        <f>IF(O$68&lt;=O$64,"Spełniona","Nie spełniona")</f>
        <v>Spełniona</v>
      </c>
      <c r="P70" s="82" t="str">
        <f>IF(P$68&lt;=P$64,"Spełniona","Nie spełniona")</f>
        <v>Spełniona</v>
      </c>
      <c r="Q70" s="82" t="str">
        <f>IF(Q$68&lt;=Q$64,"Spełniona","Nie spełniona")</f>
        <v>Spełniona</v>
      </c>
      <c r="R70" s="82" t="str">
        <f>IF(R$68&lt;=R$64,"Spełniona","Nie spełniona")</f>
        <v>Spełniona</v>
      </c>
      <c r="S70" s="82" t="str">
        <f>IF(S$68&lt;=S$64,"Spełniona","Nie spełniona")</f>
        <v>Spełniona</v>
      </c>
      <c r="T70" s="82" t="str">
        <f>IF(T$68&lt;=T$64,"Spełniona","Nie spełniona")</f>
        <v>Spełniona</v>
      </c>
    </row>
    <row r="71" spans="1:20" ht="48.75" customHeight="1">
      <c r="A71" s="126">
        <v>9</v>
      </c>
      <c r="B71" s="127" t="s">
        <v>190</v>
      </c>
      <c r="C71" s="77" t="s">
        <v>174</v>
      </c>
      <c r="D71" s="8" t="s">
        <v>174</v>
      </c>
      <c r="E71" s="8" t="s">
        <v>174</v>
      </c>
      <c r="F71" s="9" t="s">
        <v>174</v>
      </c>
      <c r="G71" s="10" t="s">
        <v>174</v>
      </c>
      <c r="H71" s="11" t="s">
        <v>174</v>
      </c>
      <c r="I71" s="11" t="s">
        <v>174</v>
      </c>
      <c r="J71" s="11" t="s">
        <v>174</v>
      </c>
      <c r="K71" s="11" t="s">
        <v>174</v>
      </c>
      <c r="L71" s="11" t="s">
        <v>174</v>
      </c>
      <c r="M71" s="11" t="s">
        <v>174</v>
      </c>
      <c r="N71" s="11" t="s">
        <v>174</v>
      </c>
      <c r="O71" s="11" t="s">
        <v>174</v>
      </c>
      <c r="P71" s="11" t="s">
        <v>174</v>
      </c>
      <c r="Q71" s="11" t="s">
        <v>174</v>
      </c>
      <c r="R71" s="11" t="s">
        <v>174</v>
      </c>
      <c r="S71" s="11" t="s">
        <v>174</v>
      </c>
      <c r="T71" s="11" t="s">
        <v>174</v>
      </c>
    </row>
    <row r="72" spans="1:20" ht="42" customHeight="1">
      <c r="A72" s="123" t="s">
        <v>178</v>
      </c>
      <c r="B72" s="179" t="s">
        <v>286</v>
      </c>
      <c r="C72" s="75">
        <f>1117061.86</f>
        <v>1117061.8600000001</v>
      </c>
      <c r="D72" s="4">
        <f>1625820.8</f>
        <v>1625820.8</v>
      </c>
      <c r="E72" s="4">
        <f>3043760</f>
        <v>3043760</v>
      </c>
      <c r="F72" s="5">
        <f>3845386.39</f>
        <v>3845386.39</v>
      </c>
      <c r="G72" s="6">
        <f>2694799</f>
        <v>2694799</v>
      </c>
      <c r="H72" s="7">
        <f>1006384</f>
        <v>1006384</v>
      </c>
      <c r="I72" s="7">
        <f>222681</f>
        <v>222681</v>
      </c>
      <c r="J72" s="7">
        <f>0</f>
        <v>0</v>
      </c>
      <c r="K72" s="7">
        <f>0</f>
        <v>0</v>
      </c>
      <c r="L72" s="7">
        <f>0</f>
        <v>0</v>
      </c>
      <c r="M72" s="7">
        <f>0</f>
        <v>0</v>
      </c>
      <c r="N72" s="7">
        <f>0</f>
        <v>0</v>
      </c>
      <c r="O72" s="7">
        <f>0</f>
        <v>0</v>
      </c>
      <c r="P72" s="7">
        <f>0</f>
        <v>0</v>
      </c>
      <c r="Q72" s="7">
        <f>0</f>
        <v>0</v>
      </c>
      <c r="R72" s="7">
        <f>0</f>
        <v>0</v>
      </c>
      <c r="S72" s="7">
        <f>0</f>
        <v>0</v>
      </c>
      <c r="T72" s="7">
        <f>0</f>
        <v>0</v>
      </c>
    </row>
    <row r="73" spans="1:20" ht="57.75" customHeight="1">
      <c r="A73" s="123" t="s">
        <v>287</v>
      </c>
      <c r="B73" s="124" t="s">
        <v>288</v>
      </c>
      <c r="C73" s="75">
        <f>1117061.86</f>
        <v>1117061.8600000001</v>
      </c>
      <c r="D73" s="4">
        <f>1625820.8</f>
        <v>1625820.8</v>
      </c>
      <c r="E73" s="4">
        <f>3043760</f>
        <v>3043760</v>
      </c>
      <c r="F73" s="5">
        <f>3845386.39</f>
        <v>3845386.39</v>
      </c>
      <c r="G73" s="6">
        <f>2694799</f>
        <v>2694799</v>
      </c>
      <c r="H73" s="7">
        <f>1006384</f>
        <v>1006384</v>
      </c>
      <c r="I73" s="7">
        <f>222681</f>
        <v>222681</v>
      </c>
      <c r="J73" s="7">
        <f>0</f>
        <v>0</v>
      </c>
      <c r="K73" s="7">
        <f>0</f>
        <v>0</v>
      </c>
      <c r="L73" s="7">
        <f>0</f>
        <v>0</v>
      </c>
      <c r="M73" s="7">
        <f>0</f>
        <v>0</v>
      </c>
      <c r="N73" s="7">
        <f>0</f>
        <v>0</v>
      </c>
      <c r="O73" s="7">
        <f>0</f>
        <v>0</v>
      </c>
      <c r="P73" s="7">
        <f>0</f>
        <v>0</v>
      </c>
      <c r="Q73" s="7">
        <f>0</f>
        <v>0</v>
      </c>
      <c r="R73" s="7">
        <f>0</f>
        <v>0</v>
      </c>
      <c r="S73" s="7">
        <f>0</f>
        <v>0</v>
      </c>
      <c r="T73" s="7">
        <f>0</f>
        <v>0</v>
      </c>
    </row>
    <row r="74" spans="1:20" ht="20.25" customHeight="1">
      <c r="A74" s="123" t="s">
        <v>289</v>
      </c>
      <c r="B74" s="180" t="s">
        <v>290</v>
      </c>
      <c r="C74" s="75">
        <f>1117061.86</f>
        <v>1117061.8600000001</v>
      </c>
      <c r="D74" s="4">
        <f>1560662.78</f>
        <v>1560662.78</v>
      </c>
      <c r="E74" s="4">
        <f>2822279</f>
        <v>2822279</v>
      </c>
      <c r="F74" s="5">
        <f>3604906.41</f>
        <v>3604906.41</v>
      </c>
      <c r="G74" s="6">
        <f>2400410</f>
        <v>2400410</v>
      </c>
      <c r="H74" s="7">
        <f>971972</f>
        <v>971972</v>
      </c>
      <c r="I74" s="7">
        <f>209865</f>
        <v>209865</v>
      </c>
      <c r="J74" s="7">
        <f>0</f>
        <v>0</v>
      </c>
      <c r="K74" s="7">
        <f>0</f>
        <v>0</v>
      </c>
      <c r="L74" s="7">
        <f>0</f>
        <v>0</v>
      </c>
      <c r="M74" s="7">
        <f>0</f>
        <v>0</v>
      </c>
      <c r="N74" s="7">
        <f>0</f>
        <v>0</v>
      </c>
      <c r="O74" s="7">
        <f>0</f>
        <v>0</v>
      </c>
      <c r="P74" s="7">
        <f>0</f>
        <v>0</v>
      </c>
      <c r="Q74" s="7">
        <f>0</f>
        <v>0</v>
      </c>
      <c r="R74" s="7">
        <f>0</f>
        <v>0</v>
      </c>
      <c r="S74" s="7">
        <f>0</f>
        <v>0</v>
      </c>
      <c r="T74" s="7">
        <f>0</f>
        <v>0</v>
      </c>
    </row>
    <row r="75" spans="1:20" ht="50.25" customHeight="1">
      <c r="A75" s="123" t="s">
        <v>179</v>
      </c>
      <c r="B75" s="179" t="s">
        <v>291</v>
      </c>
      <c r="C75" s="75">
        <f>181441</f>
        <v>181441</v>
      </c>
      <c r="D75" s="4">
        <f>586344.48</f>
        <v>586344.48</v>
      </c>
      <c r="E75" s="4">
        <f>0</f>
        <v>0</v>
      </c>
      <c r="F75" s="5">
        <f>0</f>
        <v>0</v>
      </c>
      <c r="G75" s="6">
        <f>0</f>
        <v>0</v>
      </c>
      <c r="H75" s="7">
        <f>0</f>
        <v>0</v>
      </c>
      <c r="I75" s="7">
        <f>0</f>
        <v>0</v>
      </c>
      <c r="J75" s="7">
        <f>0</f>
        <v>0</v>
      </c>
      <c r="K75" s="7">
        <f>0</f>
        <v>0</v>
      </c>
      <c r="L75" s="7">
        <f>0</f>
        <v>0</v>
      </c>
      <c r="M75" s="7">
        <f>0</f>
        <v>0</v>
      </c>
      <c r="N75" s="7">
        <f>0</f>
        <v>0</v>
      </c>
      <c r="O75" s="7">
        <f>0</f>
        <v>0</v>
      </c>
      <c r="P75" s="7">
        <f>0</f>
        <v>0</v>
      </c>
      <c r="Q75" s="7">
        <f>0</f>
        <v>0</v>
      </c>
      <c r="R75" s="7">
        <f>0</f>
        <v>0</v>
      </c>
      <c r="S75" s="7">
        <f>0</f>
        <v>0</v>
      </c>
      <c r="T75" s="7">
        <f>0</f>
        <v>0</v>
      </c>
    </row>
    <row r="76" spans="1:20" ht="54" customHeight="1">
      <c r="A76" s="123" t="s">
        <v>292</v>
      </c>
      <c r="B76" s="124" t="s">
        <v>293</v>
      </c>
      <c r="C76" s="75">
        <f>181441</f>
        <v>181441</v>
      </c>
      <c r="D76" s="4">
        <f>586344.48</f>
        <v>586344.48</v>
      </c>
      <c r="E76" s="4">
        <f>0</f>
        <v>0</v>
      </c>
      <c r="F76" s="5">
        <f>0</f>
        <v>0</v>
      </c>
      <c r="G76" s="6">
        <f>0</f>
        <v>0</v>
      </c>
      <c r="H76" s="7">
        <f>0</f>
        <v>0</v>
      </c>
      <c r="I76" s="7">
        <f>0</f>
        <v>0</v>
      </c>
      <c r="J76" s="7">
        <f>0</f>
        <v>0</v>
      </c>
      <c r="K76" s="7">
        <f>0</f>
        <v>0</v>
      </c>
      <c r="L76" s="7">
        <f>0</f>
        <v>0</v>
      </c>
      <c r="M76" s="7">
        <f>0</f>
        <v>0</v>
      </c>
      <c r="N76" s="7">
        <f>0</f>
        <v>0</v>
      </c>
      <c r="O76" s="7">
        <f>0</f>
        <v>0</v>
      </c>
      <c r="P76" s="7">
        <f>0</f>
        <v>0</v>
      </c>
      <c r="Q76" s="7">
        <f>0</f>
        <v>0</v>
      </c>
      <c r="R76" s="7">
        <f>0</f>
        <v>0</v>
      </c>
      <c r="S76" s="7">
        <f>0</f>
        <v>0</v>
      </c>
      <c r="T76" s="7">
        <f>0</f>
        <v>0</v>
      </c>
    </row>
    <row r="77" spans="1:20">
      <c r="A77" s="123" t="s">
        <v>294</v>
      </c>
      <c r="B77" s="180" t="s">
        <v>290</v>
      </c>
      <c r="C77" s="75">
        <f>1120</f>
        <v>1120</v>
      </c>
      <c r="D77" s="4">
        <f>586344.48</f>
        <v>586344.48</v>
      </c>
      <c r="E77" s="4">
        <f>0</f>
        <v>0</v>
      </c>
      <c r="F77" s="5">
        <f>0</f>
        <v>0</v>
      </c>
      <c r="G77" s="6">
        <f>0</f>
        <v>0</v>
      </c>
      <c r="H77" s="7">
        <f>0</f>
        <v>0</v>
      </c>
      <c r="I77" s="7">
        <f>0</f>
        <v>0</v>
      </c>
      <c r="J77" s="7">
        <f>0</f>
        <v>0</v>
      </c>
      <c r="K77" s="7">
        <f>0</f>
        <v>0</v>
      </c>
      <c r="L77" s="7">
        <f>0</f>
        <v>0</v>
      </c>
      <c r="M77" s="7">
        <f>0</f>
        <v>0</v>
      </c>
      <c r="N77" s="7">
        <f>0</f>
        <v>0</v>
      </c>
      <c r="O77" s="7">
        <f>0</f>
        <v>0</v>
      </c>
      <c r="P77" s="7">
        <f>0</f>
        <v>0</v>
      </c>
      <c r="Q77" s="7">
        <f>0</f>
        <v>0</v>
      </c>
      <c r="R77" s="7">
        <f>0</f>
        <v>0</v>
      </c>
      <c r="S77" s="7">
        <f>0</f>
        <v>0</v>
      </c>
      <c r="T77" s="7">
        <f>0</f>
        <v>0</v>
      </c>
    </row>
    <row r="78" spans="1:20" ht="44.25" customHeight="1">
      <c r="A78" s="123" t="s">
        <v>180</v>
      </c>
      <c r="B78" s="179" t="s">
        <v>194</v>
      </c>
      <c r="C78" s="75">
        <f>1214289.48</f>
        <v>1214289.48</v>
      </c>
      <c r="D78" s="4">
        <f>1441015.01</f>
        <v>1441015.01</v>
      </c>
      <c r="E78" s="4">
        <f>3264599</f>
        <v>3264599</v>
      </c>
      <c r="F78" s="5">
        <f>2856622.21</f>
        <v>2856622.21</v>
      </c>
      <c r="G78" s="6">
        <f>4234240</f>
        <v>4234240</v>
      </c>
      <c r="H78" s="7">
        <f>1089095</f>
        <v>1089095</v>
      </c>
      <c r="I78" s="7">
        <f>243671</f>
        <v>243671</v>
      </c>
      <c r="J78" s="7">
        <f>0</f>
        <v>0</v>
      </c>
      <c r="K78" s="7">
        <f>0</f>
        <v>0</v>
      </c>
      <c r="L78" s="7">
        <f>0</f>
        <v>0</v>
      </c>
      <c r="M78" s="7">
        <f>0</f>
        <v>0</v>
      </c>
      <c r="N78" s="7">
        <f>0</f>
        <v>0</v>
      </c>
      <c r="O78" s="7">
        <f>0</f>
        <v>0</v>
      </c>
      <c r="P78" s="7">
        <f>0</f>
        <v>0</v>
      </c>
      <c r="Q78" s="7">
        <f>0</f>
        <v>0</v>
      </c>
      <c r="R78" s="7">
        <f>0</f>
        <v>0</v>
      </c>
      <c r="S78" s="7">
        <f>0</f>
        <v>0</v>
      </c>
      <c r="T78" s="7">
        <f>0</f>
        <v>0</v>
      </c>
    </row>
    <row r="79" spans="1:20" ht="48.75" customHeight="1">
      <c r="A79" s="123" t="s">
        <v>295</v>
      </c>
      <c r="B79" s="124" t="s">
        <v>296</v>
      </c>
      <c r="C79" s="75">
        <f>1214289.48</f>
        <v>1214289.48</v>
      </c>
      <c r="D79" s="4">
        <f>1441015.01</f>
        <v>1441015.01</v>
      </c>
      <c r="E79" s="4">
        <f>3264599</f>
        <v>3264599</v>
      </c>
      <c r="F79" s="5">
        <f>2856622.21</f>
        <v>2856622.21</v>
      </c>
      <c r="G79" s="6">
        <f>4234240</f>
        <v>4234240</v>
      </c>
      <c r="H79" s="7">
        <f>1089095</f>
        <v>1089095</v>
      </c>
      <c r="I79" s="7">
        <f>243671</f>
        <v>243671</v>
      </c>
      <c r="J79" s="7">
        <f>0</f>
        <v>0</v>
      </c>
      <c r="K79" s="7">
        <f>0</f>
        <v>0</v>
      </c>
      <c r="L79" s="7">
        <f>0</f>
        <v>0</v>
      </c>
      <c r="M79" s="7">
        <f>0</f>
        <v>0</v>
      </c>
      <c r="N79" s="7">
        <f>0</f>
        <v>0</v>
      </c>
      <c r="O79" s="7">
        <f>0</f>
        <v>0</v>
      </c>
      <c r="P79" s="7">
        <f>0</f>
        <v>0</v>
      </c>
      <c r="Q79" s="7">
        <f>0</f>
        <v>0</v>
      </c>
      <c r="R79" s="7">
        <f>0</f>
        <v>0</v>
      </c>
      <c r="S79" s="7">
        <f>0</f>
        <v>0</v>
      </c>
      <c r="T79" s="7">
        <f>0</f>
        <v>0</v>
      </c>
    </row>
    <row r="80" spans="1:20" ht="28.5" customHeight="1">
      <c r="A80" s="123" t="s">
        <v>297</v>
      </c>
      <c r="B80" s="180" t="s">
        <v>298</v>
      </c>
      <c r="C80" s="75">
        <f>1117060.7</f>
        <v>1117060.7</v>
      </c>
      <c r="D80" s="4">
        <f>1322318.02</f>
        <v>1322318.02</v>
      </c>
      <c r="E80" s="4">
        <f>2929006</f>
        <v>2929006</v>
      </c>
      <c r="F80" s="5">
        <f>2541514.82</f>
        <v>2541514.8199999998</v>
      </c>
      <c r="G80" s="6">
        <f>3725389</f>
        <v>3725389</v>
      </c>
      <c r="H80" s="7">
        <f>971972</f>
        <v>971972</v>
      </c>
      <c r="I80" s="7">
        <f>209865</f>
        <v>209865</v>
      </c>
      <c r="J80" s="7">
        <f>0</f>
        <v>0</v>
      </c>
      <c r="K80" s="7">
        <f>0</f>
        <v>0</v>
      </c>
      <c r="L80" s="7">
        <f>0</f>
        <v>0</v>
      </c>
      <c r="M80" s="7">
        <f>0</f>
        <v>0</v>
      </c>
      <c r="N80" s="7">
        <f>0</f>
        <v>0</v>
      </c>
      <c r="O80" s="7">
        <f>0</f>
        <v>0</v>
      </c>
      <c r="P80" s="7">
        <f>0</f>
        <v>0</v>
      </c>
      <c r="Q80" s="7">
        <f>0</f>
        <v>0</v>
      </c>
      <c r="R80" s="7">
        <f>0</f>
        <v>0</v>
      </c>
      <c r="S80" s="7">
        <f>0</f>
        <v>0</v>
      </c>
      <c r="T80" s="7">
        <f>0</f>
        <v>0</v>
      </c>
    </row>
    <row r="81" spans="1:20" ht="42.75" customHeight="1">
      <c r="A81" s="123" t="s">
        <v>182</v>
      </c>
      <c r="B81" s="179" t="s">
        <v>195</v>
      </c>
      <c r="C81" s="75">
        <f>861627.63</f>
        <v>861627.63</v>
      </c>
      <c r="D81" s="4">
        <f>204170.41</f>
        <v>204170.41</v>
      </c>
      <c r="E81" s="4">
        <f>70572</f>
        <v>70572</v>
      </c>
      <c r="F81" s="5">
        <f>0</f>
        <v>0</v>
      </c>
      <c r="G81" s="6">
        <f>13255</f>
        <v>13255</v>
      </c>
      <c r="H81" s="7">
        <f>97666</f>
        <v>97666</v>
      </c>
      <c r="I81" s="7">
        <f>0</f>
        <v>0</v>
      </c>
      <c r="J81" s="7">
        <f>0</f>
        <v>0</v>
      </c>
      <c r="K81" s="7">
        <f>0</f>
        <v>0</v>
      </c>
      <c r="L81" s="7">
        <f>0</f>
        <v>0</v>
      </c>
      <c r="M81" s="7">
        <f>0</f>
        <v>0</v>
      </c>
      <c r="N81" s="7">
        <f>0</f>
        <v>0</v>
      </c>
      <c r="O81" s="7">
        <f>0</f>
        <v>0</v>
      </c>
      <c r="P81" s="7">
        <f>0</f>
        <v>0</v>
      </c>
      <c r="Q81" s="7">
        <f>0</f>
        <v>0</v>
      </c>
      <c r="R81" s="7">
        <f>0</f>
        <v>0</v>
      </c>
      <c r="S81" s="7">
        <f>0</f>
        <v>0</v>
      </c>
      <c r="T81" s="7">
        <f>0</f>
        <v>0</v>
      </c>
    </row>
    <row r="82" spans="1:20" ht="59.25" customHeight="1">
      <c r="A82" s="123" t="s">
        <v>299</v>
      </c>
      <c r="B82" s="124" t="s">
        <v>300</v>
      </c>
      <c r="C82" s="75">
        <f>861627.63</f>
        <v>861627.63</v>
      </c>
      <c r="D82" s="4">
        <f>204170.41</f>
        <v>204170.41</v>
      </c>
      <c r="E82" s="4">
        <f>70572</f>
        <v>70572</v>
      </c>
      <c r="F82" s="5">
        <f>0</f>
        <v>0</v>
      </c>
      <c r="G82" s="6">
        <f>13255</f>
        <v>13255</v>
      </c>
      <c r="H82" s="7">
        <f>97666</f>
        <v>97666</v>
      </c>
      <c r="I82" s="7">
        <f>0</f>
        <v>0</v>
      </c>
      <c r="J82" s="7">
        <f>0</f>
        <v>0</v>
      </c>
      <c r="K82" s="7">
        <f>0</f>
        <v>0</v>
      </c>
      <c r="L82" s="7">
        <f>0</f>
        <v>0</v>
      </c>
      <c r="M82" s="7">
        <f>0</f>
        <v>0</v>
      </c>
      <c r="N82" s="7">
        <f>0</f>
        <v>0</v>
      </c>
      <c r="O82" s="7">
        <f>0</f>
        <v>0</v>
      </c>
      <c r="P82" s="7">
        <f>0</f>
        <v>0</v>
      </c>
      <c r="Q82" s="7">
        <f>0</f>
        <v>0</v>
      </c>
      <c r="R82" s="7">
        <f>0</f>
        <v>0</v>
      </c>
      <c r="S82" s="7">
        <f>0</f>
        <v>0</v>
      </c>
      <c r="T82" s="7">
        <f>0</f>
        <v>0</v>
      </c>
    </row>
    <row r="83" spans="1:20" ht="29.25" customHeight="1">
      <c r="A83" s="123" t="s">
        <v>301</v>
      </c>
      <c r="B83" s="180" t="s">
        <v>298</v>
      </c>
      <c r="C83" s="75">
        <f>586344.48</f>
        <v>586344.48</v>
      </c>
      <c r="D83" s="4">
        <f>0</f>
        <v>0</v>
      </c>
      <c r="E83" s="4">
        <f>0</f>
        <v>0</v>
      </c>
      <c r="F83" s="5">
        <f>0</f>
        <v>0</v>
      </c>
      <c r="G83" s="6">
        <f>0</f>
        <v>0</v>
      </c>
      <c r="H83" s="7">
        <f>0</f>
        <v>0</v>
      </c>
      <c r="I83" s="7">
        <f>0</f>
        <v>0</v>
      </c>
      <c r="J83" s="7">
        <f>0</f>
        <v>0</v>
      </c>
      <c r="K83" s="7">
        <f>0</f>
        <v>0</v>
      </c>
      <c r="L83" s="7">
        <f>0</f>
        <v>0</v>
      </c>
      <c r="M83" s="7">
        <f>0</f>
        <v>0</v>
      </c>
      <c r="N83" s="7">
        <f>0</f>
        <v>0</v>
      </c>
      <c r="O83" s="7">
        <f>0</f>
        <v>0</v>
      </c>
      <c r="P83" s="7">
        <f>0</f>
        <v>0</v>
      </c>
      <c r="Q83" s="7">
        <f>0</f>
        <v>0</v>
      </c>
      <c r="R83" s="7">
        <f>0</f>
        <v>0</v>
      </c>
      <c r="S83" s="7">
        <f>0</f>
        <v>0</v>
      </c>
      <c r="T83" s="7">
        <f>0</f>
        <v>0</v>
      </c>
    </row>
    <row r="84" spans="1:20" ht="27.75" customHeight="1">
      <c r="A84" s="126">
        <v>10</v>
      </c>
      <c r="B84" s="127" t="s">
        <v>302</v>
      </c>
      <c r="C84" s="77" t="s">
        <v>174</v>
      </c>
      <c r="D84" s="8" t="s">
        <v>174</v>
      </c>
      <c r="E84" s="8" t="s">
        <v>174</v>
      </c>
      <c r="F84" s="9" t="s">
        <v>174</v>
      </c>
      <c r="G84" s="10" t="s">
        <v>174</v>
      </c>
      <c r="H84" s="11" t="s">
        <v>174</v>
      </c>
      <c r="I84" s="11" t="s">
        <v>174</v>
      </c>
      <c r="J84" s="11" t="s">
        <v>174</v>
      </c>
      <c r="K84" s="11" t="s">
        <v>174</v>
      </c>
      <c r="L84" s="11" t="s">
        <v>174</v>
      </c>
      <c r="M84" s="11" t="s">
        <v>174</v>
      </c>
      <c r="N84" s="11" t="s">
        <v>174</v>
      </c>
      <c r="O84" s="11" t="s">
        <v>174</v>
      </c>
      <c r="P84" s="11" t="s">
        <v>174</v>
      </c>
      <c r="Q84" s="11" t="s">
        <v>174</v>
      </c>
      <c r="R84" s="11" t="s">
        <v>174</v>
      </c>
      <c r="S84" s="11" t="s">
        <v>174</v>
      </c>
      <c r="T84" s="11" t="s">
        <v>174</v>
      </c>
    </row>
    <row r="85" spans="1:20" s="223" customFormat="1" ht="30" customHeight="1">
      <c r="A85" s="221" t="s">
        <v>185</v>
      </c>
      <c r="B85" s="222" t="s">
        <v>303</v>
      </c>
      <c r="C85" s="6">
        <f>19651893.88</f>
        <v>19651893.879999999</v>
      </c>
      <c r="D85" s="7">
        <f>28121021.88</f>
        <v>28121021.879999999</v>
      </c>
      <c r="E85" s="7">
        <f>19307832</f>
        <v>19307832</v>
      </c>
      <c r="F85" s="208">
        <f>15921743.49</f>
        <v>15921743.49</v>
      </c>
      <c r="G85" s="6">
        <f>18776404</f>
        <v>18776404</v>
      </c>
      <c r="H85" s="7">
        <f>14930519</f>
        <v>14930519</v>
      </c>
      <c r="I85" s="7">
        <f>12992612</f>
        <v>12992612</v>
      </c>
      <c r="J85" s="7">
        <f>13191023</f>
        <v>13191023</v>
      </c>
      <c r="K85" s="7">
        <f>11460000</f>
        <v>11460000</v>
      </c>
      <c r="L85" s="7">
        <f>10030000</f>
        <v>10030000</v>
      </c>
      <c r="M85" s="7">
        <f>3500000</f>
        <v>3500000</v>
      </c>
      <c r="N85" s="7">
        <f>1050000</f>
        <v>1050000</v>
      </c>
      <c r="O85" s="7">
        <f>700000</f>
        <v>700000</v>
      </c>
      <c r="P85" s="7">
        <f>0</f>
        <v>0</v>
      </c>
      <c r="Q85" s="7">
        <f>0</f>
        <v>0</v>
      </c>
      <c r="R85" s="7">
        <f>0</f>
        <v>0</v>
      </c>
      <c r="S85" s="7">
        <f>0</f>
        <v>0</v>
      </c>
      <c r="T85" s="7">
        <f>0</f>
        <v>0</v>
      </c>
    </row>
    <row r="86" spans="1:20" s="223" customFormat="1" ht="18" customHeight="1">
      <c r="A86" s="221" t="s">
        <v>304</v>
      </c>
      <c r="B86" s="224" t="s">
        <v>188</v>
      </c>
      <c r="C86" s="6">
        <f>1317922.84</f>
        <v>1317922.8400000001</v>
      </c>
      <c r="D86" s="7">
        <f>1763345.01</f>
        <v>1763345.01</v>
      </c>
      <c r="E86" s="7">
        <f>3647747</f>
        <v>3647747</v>
      </c>
      <c r="F86" s="208">
        <f>3176982.75</f>
        <v>3176982.75</v>
      </c>
      <c r="G86" s="6">
        <f>3998998</f>
        <v>3998998</v>
      </c>
      <c r="H86" s="7">
        <f>2538032</f>
        <v>2538032</v>
      </c>
      <c r="I86" s="7">
        <f>1312612</f>
        <v>1312612</v>
      </c>
      <c r="J86" s="7">
        <f>903540</f>
        <v>903540</v>
      </c>
      <c r="K86" s="7">
        <f>0</f>
        <v>0</v>
      </c>
      <c r="L86" s="7">
        <f>0</f>
        <v>0</v>
      </c>
      <c r="M86" s="7">
        <f>0</f>
        <v>0</v>
      </c>
      <c r="N86" s="7">
        <f>0</f>
        <v>0</v>
      </c>
      <c r="O86" s="7">
        <f>0</f>
        <v>0</v>
      </c>
      <c r="P86" s="7">
        <f>0</f>
        <v>0</v>
      </c>
      <c r="Q86" s="7">
        <f>0</f>
        <v>0</v>
      </c>
      <c r="R86" s="7">
        <f>0</f>
        <v>0</v>
      </c>
      <c r="S86" s="7">
        <f>0</f>
        <v>0</v>
      </c>
      <c r="T86" s="7">
        <f>0</f>
        <v>0</v>
      </c>
    </row>
    <row r="87" spans="1:20" s="223" customFormat="1" ht="18" customHeight="1">
      <c r="A87" s="221" t="s">
        <v>305</v>
      </c>
      <c r="B87" s="224" t="s">
        <v>189</v>
      </c>
      <c r="C87" s="6">
        <f>18333971.04</f>
        <v>18333971.039999999</v>
      </c>
      <c r="D87" s="7">
        <f>26357676.87</f>
        <v>26357676.870000001</v>
      </c>
      <c r="E87" s="7">
        <f>15660085</f>
        <v>15660085</v>
      </c>
      <c r="F87" s="208">
        <f>12744760.74</f>
        <v>12744760.74</v>
      </c>
      <c r="G87" s="6">
        <f>14777406</f>
        <v>14777406</v>
      </c>
      <c r="H87" s="7">
        <f>12392487</f>
        <v>12392487</v>
      </c>
      <c r="I87" s="7">
        <f>11680000</f>
        <v>11680000</v>
      </c>
      <c r="J87" s="7">
        <f>12287483</f>
        <v>12287483</v>
      </c>
      <c r="K87" s="7">
        <f>11460000</f>
        <v>11460000</v>
      </c>
      <c r="L87" s="7">
        <f>10030000</f>
        <v>10030000</v>
      </c>
      <c r="M87" s="7">
        <f>3500000</f>
        <v>3500000</v>
      </c>
      <c r="N87" s="7">
        <f>1050000</f>
        <v>1050000</v>
      </c>
      <c r="O87" s="7">
        <f>700000</f>
        <v>700000</v>
      </c>
      <c r="P87" s="7">
        <f>0</f>
        <v>0</v>
      </c>
      <c r="Q87" s="7">
        <f>0</f>
        <v>0</v>
      </c>
      <c r="R87" s="7">
        <f>0</f>
        <v>0</v>
      </c>
      <c r="S87" s="7">
        <f>0</f>
        <v>0</v>
      </c>
      <c r="T87" s="7">
        <f>0</f>
        <v>0</v>
      </c>
    </row>
    <row r="88" spans="1:20" s="223" customFormat="1" ht="41.25" customHeight="1">
      <c r="A88" s="221" t="s">
        <v>306</v>
      </c>
      <c r="B88" s="225" t="s">
        <v>196</v>
      </c>
      <c r="C88" s="6">
        <f>0</f>
        <v>0</v>
      </c>
      <c r="D88" s="7">
        <f>0</f>
        <v>0</v>
      </c>
      <c r="E88" s="7">
        <f>0</f>
        <v>0</v>
      </c>
      <c r="F88" s="208">
        <f>0</f>
        <v>0</v>
      </c>
      <c r="G88" s="6">
        <f>0</f>
        <v>0</v>
      </c>
      <c r="H88" s="7">
        <f>0</f>
        <v>0</v>
      </c>
      <c r="I88" s="7">
        <f>0</f>
        <v>0</v>
      </c>
      <c r="J88" s="7">
        <f>0</f>
        <v>0</v>
      </c>
      <c r="K88" s="7">
        <f>0</f>
        <v>0</v>
      </c>
      <c r="L88" s="7">
        <f>0</f>
        <v>0</v>
      </c>
      <c r="M88" s="7">
        <f>0</f>
        <v>0</v>
      </c>
      <c r="N88" s="7">
        <f>0</f>
        <v>0</v>
      </c>
      <c r="O88" s="7">
        <f>0</f>
        <v>0</v>
      </c>
      <c r="P88" s="7">
        <f>0</f>
        <v>0</v>
      </c>
      <c r="Q88" s="7">
        <f>0</f>
        <v>0</v>
      </c>
      <c r="R88" s="7">
        <f>0</f>
        <v>0</v>
      </c>
      <c r="S88" s="7">
        <f>0</f>
        <v>0</v>
      </c>
      <c r="T88" s="7">
        <f>0</f>
        <v>0</v>
      </c>
    </row>
    <row r="89" spans="1:20" ht="58.5" customHeight="1">
      <c r="A89" s="123" t="s">
        <v>307</v>
      </c>
      <c r="B89" s="179" t="s">
        <v>308</v>
      </c>
      <c r="C89" s="75">
        <f>654761.88</f>
        <v>654761.88</v>
      </c>
      <c r="D89" s="4">
        <f>654761.88</f>
        <v>654761.88</v>
      </c>
      <c r="E89" s="4">
        <f>654762</f>
        <v>654762</v>
      </c>
      <c r="F89" s="5">
        <f>654761.88</f>
        <v>654761.88</v>
      </c>
      <c r="G89" s="6">
        <f>654762</f>
        <v>654762</v>
      </c>
      <c r="H89" s="7">
        <f>654762</f>
        <v>654762</v>
      </c>
      <c r="I89" s="7">
        <f>0</f>
        <v>0</v>
      </c>
      <c r="J89" s="7">
        <f>0</f>
        <v>0</v>
      </c>
      <c r="K89" s="7">
        <f>0</f>
        <v>0</v>
      </c>
      <c r="L89" s="7">
        <f>0</f>
        <v>0</v>
      </c>
      <c r="M89" s="7">
        <f>0</f>
        <v>0</v>
      </c>
      <c r="N89" s="7">
        <f>0</f>
        <v>0</v>
      </c>
      <c r="O89" s="7">
        <f>0</f>
        <v>0</v>
      </c>
      <c r="P89" s="7">
        <f>0</f>
        <v>0</v>
      </c>
      <c r="Q89" s="7">
        <f>0</f>
        <v>0</v>
      </c>
      <c r="R89" s="7">
        <f>0</f>
        <v>0</v>
      </c>
      <c r="S89" s="7">
        <f>0</f>
        <v>0</v>
      </c>
      <c r="T89" s="7">
        <f>0</f>
        <v>0</v>
      </c>
    </row>
    <row r="90" spans="1:20" ht="60">
      <c r="A90" s="123" t="s">
        <v>309</v>
      </c>
      <c r="B90" s="179" t="s">
        <v>181</v>
      </c>
      <c r="C90" s="75">
        <f>0</f>
        <v>0</v>
      </c>
      <c r="D90" s="4">
        <f>0</f>
        <v>0</v>
      </c>
      <c r="E90" s="4">
        <f>0</f>
        <v>0</v>
      </c>
      <c r="F90" s="5">
        <f>0</f>
        <v>0</v>
      </c>
      <c r="G90" s="6">
        <f>0</f>
        <v>0</v>
      </c>
      <c r="H90" s="7">
        <f>0</f>
        <v>0</v>
      </c>
      <c r="I90" s="7">
        <f>0</f>
        <v>0</v>
      </c>
      <c r="J90" s="7">
        <f>0</f>
        <v>0</v>
      </c>
      <c r="K90" s="7">
        <f>0</f>
        <v>0</v>
      </c>
      <c r="L90" s="7">
        <f>0</f>
        <v>0</v>
      </c>
      <c r="M90" s="7">
        <f>0</f>
        <v>0</v>
      </c>
      <c r="N90" s="7">
        <f>0</f>
        <v>0</v>
      </c>
      <c r="O90" s="7">
        <f>0</f>
        <v>0</v>
      </c>
      <c r="P90" s="7">
        <f>0</f>
        <v>0</v>
      </c>
      <c r="Q90" s="7">
        <f>0</f>
        <v>0</v>
      </c>
      <c r="R90" s="7">
        <f>0</f>
        <v>0</v>
      </c>
      <c r="S90" s="7">
        <f>0</f>
        <v>0</v>
      </c>
      <c r="T90" s="7">
        <f>0</f>
        <v>0</v>
      </c>
    </row>
    <row r="91" spans="1:20" ht="60">
      <c r="A91" s="123" t="s">
        <v>310</v>
      </c>
      <c r="B91" s="179" t="s">
        <v>311</v>
      </c>
      <c r="C91" s="75">
        <f>2619047.69</f>
        <v>2619047.69</v>
      </c>
      <c r="D91" s="4">
        <f>1964285.81</f>
        <v>1964285.81</v>
      </c>
      <c r="E91" s="4">
        <f>1309524</f>
        <v>1309524</v>
      </c>
      <c r="F91" s="5">
        <f>1309524</f>
        <v>1309524</v>
      </c>
      <c r="G91" s="6">
        <f>654762</f>
        <v>654762</v>
      </c>
      <c r="H91" s="7">
        <f>0</f>
        <v>0</v>
      </c>
      <c r="I91" s="7">
        <f>0</f>
        <v>0</v>
      </c>
      <c r="J91" s="7">
        <f>0</f>
        <v>0</v>
      </c>
      <c r="K91" s="7">
        <f>0</f>
        <v>0</v>
      </c>
      <c r="L91" s="7">
        <f>0</f>
        <v>0</v>
      </c>
      <c r="M91" s="7">
        <f>0</f>
        <v>0</v>
      </c>
      <c r="N91" s="7">
        <f>0</f>
        <v>0</v>
      </c>
      <c r="O91" s="7">
        <f>0</f>
        <v>0</v>
      </c>
      <c r="P91" s="7">
        <f>0</f>
        <v>0</v>
      </c>
      <c r="Q91" s="7">
        <f>0</f>
        <v>0</v>
      </c>
      <c r="R91" s="7">
        <f>0</f>
        <v>0</v>
      </c>
      <c r="S91" s="7">
        <f>0</f>
        <v>0</v>
      </c>
      <c r="T91" s="7">
        <f>0</f>
        <v>0</v>
      </c>
    </row>
    <row r="92" spans="1:20" ht="36">
      <c r="A92" s="123" t="s">
        <v>312</v>
      </c>
      <c r="B92" s="179" t="s">
        <v>313</v>
      </c>
      <c r="C92" s="75">
        <f>6677276</f>
        <v>6677276</v>
      </c>
      <c r="D92" s="4">
        <f>6560935</f>
        <v>6560935</v>
      </c>
      <c r="E92" s="4">
        <f>5788270</f>
        <v>5788270</v>
      </c>
      <c r="F92" s="5">
        <f>5788270</f>
        <v>5788270</v>
      </c>
      <c r="G92" s="6">
        <f>5254612</f>
        <v>5254612</v>
      </c>
      <c r="H92" s="7">
        <f>4542000</f>
        <v>4542000</v>
      </c>
      <c r="I92" s="7">
        <f>4742000</f>
        <v>4742000</v>
      </c>
      <c r="J92" s="7">
        <f>4242000</f>
        <v>4242000</v>
      </c>
      <c r="K92" s="7">
        <f>4392000</f>
        <v>4392000</v>
      </c>
      <c r="L92" s="7">
        <f>4592000</f>
        <v>4592000</v>
      </c>
      <c r="M92" s="7">
        <f>4300000</f>
        <v>4300000</v>
      </c>
      <c r="N92" s="7">
        <f>4300000</f>
        <v>4300000</v>
      </c>
      <c r="O92" s="7">
        <f>4300000</f>
        <v>4300000</v>
      </c>
      <c r="P92" s="7">
        <f>3600000</f>
        <v>3600000</v>
      </c>
      <c r="Q92" s="7">
        <f>3000000</f>
        <v>3000000</v>
      </c>
      <c r="R92" s="7">
        <f>2900000</f>
        <v>2900000</v>
      </c>
      <c r="S92" s="7">
        <f>0</f>
        <v>0</v>
      </c>
      <c r="T92" s="7">
        <f>0</f>
        <v>0</v>
      </c>
    </row>
    <row r="93" spans="1:20" ht="17.25" customHeight="1">
      <c r="A93" s="123" t="s">
        <v>314</v>
      </c>
      <c r="B93" s="179" t="s">
        <v>315</v>
      </c>
      <c r="C93" s="75">
        <f>654761.88</f>
        <v>654761.88</v>
      </c>
      <c r="D93" s="4">
        <f>654761.88</f>
        <v>654761.88</v>
      </c>
      <c r="E93" s="4">
        <f>654762</f>
        <v>654762</v>
      </c>
      <c r="F93" s="5">
        <f>654762</f>
        <v>654762</v>
      </c>
      <c r="G93" s="6">
        <f>654762</f>
        <v>654762</v>
      </c>
      <c r="H93" s="7">
        <f>654762</f>
        <v>654762</v>
      </c>
      <c r="I93" s="7">
        <f>0</f>
        <v>0</v>
      </c>
      <c r="J93" s="7">
        <f>0</f>
        <v>0</v>
      </c>
      <c r="K93" s="7">
        <f>0</f>
        <v>0</v>
      </c>
      <c r="L93" s="7">
        <f>0</f>
        <v>0</v>
      </c>
      <c r="M93" s="7">
        <f>0</f>
        <v>0</v>
      </c>
      <c r="N93" s="7">
        <f>0</f>
        <v>0</v>
      </c>
      <c r="O93" s="7">
        <f>0</f>
        <v>0</v>
      </c>
      <c r="P93" s="7">
        <f>0</f>
        <v>0</v>
      </c>
      <c r="Q93" s="7">
        <f>0</f>
        <v>0</v>
      </c>
      <c r="R93" s="7">
        <f>0</f>
        <v>0</v>
      </c>
      <c r="S93" s="7">
        <f>0</f>
        <v>0</v>
      </c>
      <c r="T93" s="7">
        <f>0</f>
        <v>0</v>
      </c>
    </row>
    <row r="94" spans="1:20" ht="36" customHeight="1">
      <c r="A94" s="123" t="s">
        <v>316</v>
      </c>
      <c r="B94" s="124" t="s">
        <v>317</v>
      </c>
      <c r="C94" s="75">
        <f>0</f>
        <v>0</v>
      </c>
      <c r="D94" s="4">
        <f>0</f>
        <v>0</v>
      </c>
      <c r="E94" s="4">
        <f>0</f>
        <v>0</v>
      </c>
      <c r="F94" s="5">
        <f>0</f>
        <v>0</v>
      </c>
      <c r="G94" s="6">
        <f>0</f>
        <v>0</v>
      </c>
      <c r="H94" s="7">
        <f>0</f>
        <v>0</v>
      </c>
      <c r="I94" s="7">
        <f>0</f>
        <v>0</v>
      </c>
      <c r="J94" s="7">
        <f>0</f>
        <v>0</v>
      </c>
      <c r="K94" s="7">
        <f>0</f>
        <v>0</v>
      </c>
      <c r="L94" s="7">
        <f>0</f>
        <v>0</v>
      </c>
      <c r="M94" s="7">
        <f>0</f>
        <v>0</v>
      </c>
      <c r="N94" s="7">
        <f>0</f>
        <v>0</v>
      </c>
      <c r="O94" s="7">
        <f>0</f>
        <v>0</v>
      </c>
      <c r="P94" s="7">
        <f>0</f>
        <v>0</v>
      </c>
      <c r="Q94" s="7">
        <f>0</f>
        <v>0</v>
      </c>
      <c r="R94" s="7">
        <f>0</f>
        <v>0</v>
      </c>
      <c r="S94" s="7">
        <f>0</f>
        <v>0</v>
      </c>
      <c r="T94" s="7">
        <f>0</f>
        <v>0</v>
      </c>
    </row>
    <row r="95" spans="1:20" ht="33" customHeight="1">
      <c r="A95" s="123" t="s">
        <v>318</v>
      </c>
      <c r="B95" s="124" t="s">
        <v>319</v>
      </c>
      <c r="C95" s="75">
        <f>654761.88</f>
        <v>654761.88</v>
      </c>
      <c r="D95" s="4">
        <f>654761.88</f>
        <v>654761.88</v>
      </c>
      <c r="E95" s="4">
        <f>654762</f>
        <v>654762</v>
      </c>
      <c r="F95" s="5">
        <f>654762</f>
        <v>654762</v>
      </c>
      <c r="G95" s="6">
        <f>654762</f>
        <v>654762</v>
      </c>
      <c r="H95" s="7">
        <f>654762</f>
        <v>654762</v>
      </c>
      <c r="I95" s="7">
        <f>0</f>
        <v>0</v>
      </c>
      <c r="J95" s="7">
        <f>0</f>
        <v>0</v>
      </c>
      <c r="K95" s="7">
        <f>0</f>
        <v>0</v>
      </c>
      <c r="L95" s="7">
        <f>0</f>
        <v>0</v>
      </c>
      <c r="M95" s="7">
        <f>0</f>
        <v>0</v>
      </c>
      <c r="N95" s="7">
        <f>0</f>
        <v>0</v>
      </c>
      <c r="O95" s="7">
        <f>0</f>
        <v>0</v>
      </c>
      <c r="P95" s="7">
        <f>0</f>
        <v>0</v>
      </c>
      <c r="Q95" s="7">
        <f>0</f>
        <v>0</v>
      </c>
      <c r="R95" s="7">
        <f>0</f>
        <v>0</v>
      </c>
      <c r="S95" s="7">
        <f>0</f>
        <v>0</v>
      </c>
      <c r="T95" s="7">
        <f>0</f>
        <v>0</v>
      </c>
    </row>
    <row r="96" spans="1:20" ht="35.25" customHeight="1">
      <c r="A96" s="123" t="s">
        <v>320</v>
      </c>
      <c r="B96" s="180" t="s">
        <v>321</v>
      </c>
      <c r="C96" s="75">
        <f>0</f>
        <v>0</v>
      </c>
      <c r="D96" s="4">
        <f>0</f>
        <v>0</v>
      </c>
      <c r="E96" s="4">
        <f>0</f>
        <v>0</v>
      </c>
      <c r="F96" s="5">
        <f>0</f>
        <v>0</v>
      </c>
      <c r="G96" s="6">
        <f>0</f>
        <v>0</v>
      </c>
      <c r="H96" s="7">
        <f>0</f>
        <v>0</v>
      </c>
      <c r="I96" s="7">
        <f>0</f>
        <v>0</v>
      </c>
      <c r="J96" s="7">
        <f>0</f>
        <v>0</v>
      </c>
      <c r="K96" s="7">
        <f>0</f>
        <v>0</v>
      </c>
      <c r="L96" s="7">
        <f>0</f>
        <v>0</v>
      </c>
      <c r="M96" s="7">
        <f>0</f>
        <v>0</v>
      </c>
      <c r="N96" s="7">
        <f>0</f>
        <v>0</v>
      </c>
      <c r="O96" s="7">
        <f>0</f>
        <v>0</v>
      </c>
      <c r="P96" s="7">
        <f>0</f>
        <v>0</v>
      </c>
      <c r="Q96" s="7">
        <f>0</f>
        <v>0</v>
      </c>
      <c r="R96" s="7">
        <f>0</f>
        <v>0</v>
      </c>
      <c r="S96" s="7">
        <f>0</f>
        <v>0</v>
      </c>
      <c r="T96" s="7">
        <f>0</f>
        <v>0</v>
      </c>
    </row>
    <row r="97" spans="1:20" ht="16.5" customHeight="1">
      <c r="A97" s="123" t="s">
        <v>322</v>
      </c>
      <c r="B97" s="125" t="s">
        <v>323</v>
      </c>
      <c r="C97" s="75">
        <f>0</f>
        <v>0</v>
      </c>
      <c r="D97" s="4">
        <f>0</f>
        <v>0</v>
      </c>
      <c r="E97" s="4">
        <f>0</f>
        <v>0</v>
      </c>
      <c r="F97" s="5">
        <f>0</f>
        <v>0</v>
      </c>
      <c r="G97" s="6">
        <f>0</f>
        <v>0</v>
      </c>
      <c r="H97" s="7">
        <f>0</f>
        <v>0</v>
      </c>
      <c r="I97" s="7">
        <f>0</f>
        <v>0</v>
      </c>
      <c r="J97" s="7">
        <f>0</f>
        <v>0</v>
      </c>
      <c r="K97" s="7">
        <f>0</f>
        <v>0</v>
      </c>
      <c r="L97" s="7">
        <f>0</f>
        <v>0</v>
      </c>
      <c r="M97" s="7">
        <f>0</f>
        <v>0</v>
      </c>
      <c r="N97" s="7">
        <f>0</f>
        <v>0</v>
      </c>
      <c r="O97" s="7">
        <f>0</f>
        <v>0</v>
      </c>
      <c r="P97" s="7">
        <f>0</f>
        <v>0</v>
      </c>
      <c r="Q97" s="7">
        <f>0</f>
        <v>0</v>
      </c>
      <c r="R97" s="7">
        <f>0</f>
        <v>0</v>
      </c>
      <c r="S97" s="7">
        <f>0</f>
        <v>0</v>
      </c>
      <c r="T97" s="7">
        <f>0</f>
        <v>0</v>
      </c>
    </row>
    <row r="98" spans="1:20" ht="34.5" customHeight="1">
      <c r="A98" s="123" t="s">
        <v>324</v>
      </c>
      <c r="B98" s="124" t="s">
        <v>197</v>
      </c>
      <c r="C98" s="75">
        <f>0</f>
        <v>0</v>
      </c>
      <c r="D98" s="4">
        <f>0</f>
        <v>0</v>
      </c>
      <c r="E98" s="4">
        <f>0</f>
        <v>0</v>
      </c>
      <c r="F98" s="5">
        <f>0</f>
        <v>0</v>
      </c>
      <c r="G98" s="6">
        <f>0</f>
        <v>0</v>
      </c>
      <c r="H98" s="7">
        <f>0</f>
        <v>0</v>
      </c>
      <c r="I98" s="7">
        <f>0</f>
        <v>0</v>
      </c>
      <c r="J98" s="7">
        <f>0</f>
        <v>0</v>
      </c>
      <c r="K98" s="7">
        <f>0</f>
        <v>0</v>
      </c>
      <c r="L98" s="7">
        <f>0</f>
        <v>0</v>
      </c>
      <c r="M98" s="7">
        <f>0</f>
        <v>0</v>
      </c>
      <c r="N98" s="7">
        <f>0</f>
        <v>0</v>
      </c>
      <c r="O98" s="7">
        <f>0</f>
        <v>0</v>
      </c>
      <c r="P98" s="7">
        <f>0</f>
        <v>0</v>
      </c>
      <c r="Q98" s="7">
        <f>0</f>
        <v>0</v>
      </c>
      <c r="R98" s="7">
        <f>0</f>
        <v>0</v>
      </c>
      <c r="S98" s="7">
        <f>0</f>
        <v>0</v>
      </c>
      <c r="T98" s="7">
        <f>0</f>
        <v>0</v>
      </c>
    </row>
    <row r="99" spans="1:20" ht="40.5" customHeight="1">
      <c r="A99" s="123" t="s">
        <v>325</v>
      </c>
      <c r="B99" s="179" t="s">
        <v>326</v>
      </c>
      <c r="C99" s="75">
        <f>0</f>
        <v>0</v>
      </c>
      <c r="D99" s="4">
        <f>0</f>
        <v>0</v>
      </c>
      <c r="E99" s="4">
        <f>0</f>
        <v>0</v>
      </c>
      <c r="F99" s="5">
        <f>-0.07</f>
        <v>-7.0000000000000007E-2</v>
      </c>
      <c r="G99" s="6">
        <f>0.07</f>
        <v>7.0000000000000007E-2</v>
      </c>
      <c r="H99" s="7">
        <f>0</f>
        <v>0</v>
      </c>
      <c r="I99" s="7">
        <f>0</f>
        <v>0</v>
      </c>
      <c r="J99" s="7">
        <f>0</f>
        <v>0</v>
      </c>
      <c r="K99" s="7">
        <f>0</f>
        <v>0</v>
      </c>
      <c r="L99" s="7">
        <f>0</f>
        <v>0</v>
      </c>
      <c r="M99" s="7">
        <f>0</f>
        <v>0</v>
      </c>
      <c r="N99" s="7">
        <f>0</f>
        <v>0</v>
      </c>
      <c r="O99" s="7">
        <f>0</f>
        <v>0</v>
      </c>
      <c r="P99" s="7">
        <f>0</f>
        <v>0</v>
      </c>
      <c r="Q99" s="7">
        <f>0</f>
        <v>0</v>
      </c>
      <c r="R99" s="7">
        <f>0</f>
        <v>0</v>
      </c>
      <c r="S99" s="7">
        <f>0</f>
        <v>0</v>
      </c>
      <c r="T99" s="7">
        <f>0</f>
        <v>0</v>
      </c>
    </row>
    <row r="100" spans="1:20" ht="40.5" customHeight="1">
      <c r="A100" s="123" t="s">
        <v>327</v>
      </c>
      <c r="B100" s="179" t="s">
        <v>328</v>
      </c>
      <c r="C100" s="75">
        <f>0</f>
        <v>0</v>
      </c>
      <c r="D100" s="4">
        <f>0</f>
        <v>0</v>
      </c>
      <c r="E100" s="4">
        <f>0</f>
        <v>0</v>
      </c>
      <c r="F100" s="5">
        <f>0</f>
        <v>0</v>
      </c>
      <c r="G100" s="6">
        <f>0</f>
        <v>0</v>
      </c>
      <c r="H100" s="7">
        <f>0</f>
        <v>0</v>
      </c>
      <c r="I100" s="7">
        <f>0</f>
        <v>0</v>
      </c>
      <c r="J100" s="7">
        <f>0</f>
        <v>0</v>
      </c>
      <c r="K100" s="7">
        <f>0</f>
        <v>0</v>
      </c>
      <c r="L100" s="7">
        <f>0</f>
        <v>0</v>
      </c>
      <c r="M100" s="7">
        <f>0</f>
        <v>0</v>
      </c>
      <c r="N100" s="7">
        <f>0</f>
        <v>0</v>
      </c>
      <c r="O100" s="7">
        <f>0</f>
        <v>0</v>
      </c>
      <c r="P100" s="7">
        <f>0</f>
        <v>0</v>
      </c>
      <c r="Q100" s="7">
        <f>0</f>
        <v>0</v>
      </c>
      <c r="R100" s="7">
        <f>0</f>
        <v>0</v>
      </c>
      <c r="S100" s="7">
        <f>0</f>
        <v>0</v>
      </c>
      <c r="T100" s="7">
        <f>0</f>
        <v>0</v>
      </c>
    </row>
    <row r="101" spans="1:20" ht="93" customHeight="1">
      <c r="A101" s="123" t="s">
        <v>367</v>
      </c>
      <c r="B101" s="179" t="s">
        <v>368</v>
      </c>
      <c r="C101" s="75">
        <f>0</f>
        <v>0</v>
      </c>
      <c r="D101" s="4">
        <f>0</f>
        <v>0</v>
      </c>
      <c r="E101" s="4">
        <f>0</f>
        <v>0</v>
      </c>
      <c r="F101" s="5">
        <f>0</f>
        <v>0</v>
      </c>
      <c r="G101" s="6">
        <f>0</f>
        <v>0</v>
      </c>
      <c r="H101" s="7">
        <f>1717</f>
        <v>1717</v>
      </c>
      <c r="I101" s="7">
        <f>20600</f>
        <v>20600</v>
      </c>
      <c r="J101" s="7">
        <f>20600</f>
        <v>20600</v>
      </c>
      <c r="K101" s="7">
        <f>20600</f>
        <v>20600</v>
      </c>
      <c r="L101" s="7">
        <f>20600</f>
        <v>20600</v>
      </c>
      <c r="M101" s="7">
        <f>20600</f>
        <v>20600</v>
      </c>
      <c r="N101" s="7">
        <f>1018883</f>
        <v>1018883</v>
      </c>
      <c r="O101" s="7">
        <f>1009442</f>
        <v>1009442</v>
      </c>
      <c r="P101" s="7">
        <f>0</f>
        <v>0</v>
      </c>
      <c r="Q101" s="7">
        <f>0</f>
        <v>0</v>
      </c>
      <c r="R101" s="7">
        <f>0</f>
        <v>0</v>
      </c>
      <c r="S101" s="7">
        <f>0</f>
        <v>0</v>
      </c>
      <c r="T101" s="7">
        <f>0</f>
        <v>0</v>
      </c>
    </row>
    <row r="102" spans="1:20" ht="37.5" customHeight="1">
      <c r="A102" s="123" t="s">
        <v>369</v>
      </c>
      <c r="B102" s="179" t="s">
        <v>370</v>
      </c>
      <c r="C102" s="75">
        <f>0</f>
        <v>0</v>
      </c>
      <c r="D102" s="4">
        <f>0</f>
        <v>0</v>
      </c>
      <c r="E102" s="4">
        <f>0</f>
        <v>0</v>
      </c>
      <c r="F102" s="5">
        <f>0</f>
        <v>0</v>
      </c>
      <c r="G102" s="6">
        <f>427350.21</f>
        <v>427350.21</v>
      </c>
      <c r="H102" s="7">
        <f>0</f>
        <v>0</v>
      </c>
      <c r="I102" s="7">
        <f>0</f>
        <v>0</v>
      </c>
      <c r="J102" s="7">
        <f>0</f>
        <v>0</v>
      </c>
      <c r="K102" s="7">
        <f>0</f>
        <v>0</v>
      </c>
      <c r="L102" s="7">
        <f>0</f>
        <v>0</v>
      </c>
      <c r="M102" s="7">
        <f>0</f>
        <v>0</v>
      </c>
      <c r="N102" s="7">
        <f>0</f>
        <v>0</v>
      </c>
      <c r="O102" s="7">
        <f>0</f>
        <v>0</v>
      </c>
      <c r="P102" s="7">
        <f>0</f>
        <v>0</v>
      </c>
      <c r="Q102" s="7">
        <f>0</f>
        <v>0</v>
      </c>
      <c r="R102" s="7">
        <f>0</f>
        <v>0</v>
      </c>
      <c r="S102" s="7">
        <f>0</f>
        <v>0</v>
      </c>
      <c r="T102" s="7">
        <f>0</f>
        <v>0</v>
      </c>
    </row>
    <row r="103" spans="1:20" ht="30.75" customHeight="1">
      <c r="A103" s="126">
        <v>11</v>
      </c>
      <c r="B103" s="127" t="s">
        <v>329</v>
      </c>
      <c r="C103" s="77" t="s">
        <v>174</v>
      </c>
      <c r="D103" s="8" t="s">
        <v>174</v>
      </c>
      <c r="E103" s="8" t="s">
        <v>174</v>
      </c>
      <c r="F103" s="9" t="s">
        <v>174</v>
      </c>
      <c r="G103" s="10" t="s">
        <v>174</v>
      </c>
      <c r="H103" s="11" t="s">
        <v>174</v>
      </c>
      <c r="I103" s="11" t="s">
        <v>174</v>
      </c>
      <c r="J103" s="11" t="s">
        <v>174</v>
      </c>
      <c r="K103" s="11" t="s">
        <v>174</v>
      </c>
      <c r="L103" s="11" t="s">
        <v>174</v>
      </c>
      <c r="M103" s="11" t="s">
        <v>174</v>
      </c>
      <c r="N103" s="11" t="s">
        <v>174</v>
      </c>
      <c r="O103" s="11" t="s">
        <v>174</v>
      </c>
      <c r="P103" s="11" t="s">
        <v>174</v>
      </c>
      <c r="Q103" s="11" t="s">
        <v>174</v>
      </c>
      <c r="R103" s="11" t="s">
        <v>174</v>
      </c>
      <c r="S103" s="11" t="s">
        <v>174</v>
      </c>
      <c r="T103" s="11" t="s">
        <v>174</v>
      </c>
    </row>
    <row r="104" spans="1:20" ht="32.25" customHeight="1">
      <c r="A104" s="123" t="s">
        <v>186</v>
      </c>
      <c r="B104" s="179" t="s">
        <v>330</v>
      </c>
      <c r="C104" s="75">
        <f>0</f>
        <v>0</v>
      </c>
      <c r="D104" s="4">
        <f>0</f>
        <v>0</v>
      </c>
      <c r="E104" s="4">
        <f>0</f>
        <v>0</v>
      </c>
      <c r="F104" s="5">
        <f>0</f>
        <v>0</v>
      </c>
      <c r="G104" s="6">
        <f>0</f>
        <v>0</v>
      </c>
      <c r="H104" s="7">
        <f>0</f>
        <v>0</v>
      </c>
      <c r="I104" s="7">
        <f>0</f>
        <v>0</v>
      </c>
      <c r="J104" s="7">
        <f>0</f>
        <v>0</v>
      </c>
      <c r="K104" s="7">
        <f>0</f>
        <v>0</v>
      </c>
      <c r="L104" s="7">
        <f>0</f>
        <v>0</v>
      </c>
      <c r="M104" s="7">
        <f>0</f>
        <v>0</v>
      </c>
      <c r="N104" s="7">
        <f>0</f>
        <v>0</v>
      </c>
      <c r="O104" s="7">
        <f>0</f>
        <v>0</v>
      </c>
      <c r="P104" s="7">
        <f>0</f>
        <v>0</v>
      </c>
      <c r="Q104" s="7">
        <f>0</f>
        <v>0</v>
      </c>
      <c r="R104" s="7">
        <f>0</f>
        <v>0</v>
      </c>
      <c r="S104" s="7">
        <f>0</f>
        <v>0</v>
      </c>
      <c r="T104" s="7">
        <f>0</f>
        <v>0</v>
      </c>
    </row>
    <row r="105" spans="1:20" ht="20.25" customHeight="1">
      <c r="A105" s="123" t="s">
        <v>331</v>
      </c>
      <c r="B105" s="124" t="s">
        <v>332</v>
      </c>
      <c r="C105" s="75">
        <f>0</f>
        <v>0</v>
      </c>
      <c r="D105" s="4">
        <f>0</f>
        <v>0</v>
      </c>
      <c r="E105" s="4">
        <f>0</f>
        <v>0</v>
      </c>
      <c r="F105" s="5">
        <f>0</f>
        <v>0</v>
      </c>
      <c r="G105" s="6">
        <f>0</f>
        <v>0</v>
      </c>
      <c r="H105" s="7">
        <f>0</f>
        <v>0</v>
      </c>
      <c r="I105" s="7">
        <f>0</f>
        <v>0</v>
      </c>
      <c r="J105" s="7">
        <f>0</f>
        <v>0</v>
      </c>
      <c r="K105" s="7">
        <f>0</f>
        <v>0</v>
      </c>
      <c r="L105" s="7">
        <f>0</f>
        <v>0</v>
      </c>
      <c r="M105" s="7">
        <f>0</f>
        <v>0</v>
      </c>
      <c r="N105" s="7">
        <f>0</f>
        <v>0</v>
      </c>
      <c r="O105" s="7">
        <f>0</f>
        <v>0</v>
      </c>
      <c r="P105" s="7">
        <f>0</f>
        <v>0</v>
      </c>
      <c r="Q105" s="7">
        <f>0</f>
        <v>0</v>
      </c>
      <c r="R105" s="7">
        <f>0</f>
        <v>0</v>
      </c>
      <c r="S105" s="7">
        <f>0</f>
        <v>0</v>
      </c>
      <c r="T105" s="7">
        <f>0</f>
        <v>0</v>
      </c>
    </row>
    <row r="106" spans="1:20" ht="45.75" customHeight="1">
      <c r="A106" s="123" t="s">
        <v>187</v>
      </c>
      <c r="B106" s="179" t="s">
        <v>333</v>
      </c>
      <c r="C106" s="75">
        <f>0</f>
        <v>0</v>
      </c>
      <c r="D106" s="4">
        <f>0</f>
        <v>0</v>
      </c>
      <c r="E106" s="4">
        <f>0</f>
        <v>0</v>
      </c>
      <c r="F106" s="5">
        <f>0</f>
        <v>0</v>
      </c>
      <c r="G106" s="6">
        <f>0</f>
        <v>0</v>
      </c>
      <c r="H106" s="7">
        <f>0</f>
        <v>0</v>
      </c>
      <c r="I106" s="7">
        <f>0</f>
        <v>0</v>
      </c>
      <c r="J106" s="7">
        <f>0</f>
        <v>0</v>
      </c>
      <c r="K106" s="7">
        <f>0</f>
        <v>0</v>
      </c>
      <c r="L106" s="7">
        <f>0</f>
        <v>0</v>
      </c>
      <c r="M106" s="7">
        <f>0</f>
        <v>0</v>
      </c>
      <c r="N106" s="7">
        <f>0</f>
        <v>0</v>
      </c>
      <c r="O106" s="7">
        <f>0</f>
        <v>0</v>
      </c>
      <c r="P106" s="7">
        <f>0</f>
        <v>0</v>
      </c>
      <c r="Q106" s="7">
        <f>0</f>
        <v>0</v>
      </c>
      <c r="R106" s="7">
        <f>0</f>
        <v>0</v>
      </c>
      <c r="S106" s="7">
        <f>0</f>
        <v>0</v>
      </c>
      <c r="T106" s="7">
        <f>0</f>
        <v>0</v>
      </c>
    </row>
    <row r="107" spans="1:20" ht="36">
      <c r="A107" s="126">
        <v>12</v>
      </c>
      <c r="B107" s="127" t="s">
        <v>334</v>
      </c>
      <c r="C107" s="77" t="s">
        <v>174</v>
      </c>
      <c r="D107" s="8" t="s">
        <v>174</v>
      </c>
      <c r="E107" s="8" t="s">
        <v>174</v>
      </c>
      <c r="F107" s="9" t="s">
        <v>174</v>
      </c>
      <c r="G107" s="10" t="s">
        <v>174</v>
      </c>
      <c r="H107" s="11" t="s">
        <v>174</v>
      </c>
      <c r="I107" s="11" t="s">
        <v>174</v>
      </c>
      <c r="J107" s="11" t="s">
        <v>174</v>
      </c>
      <c r="K107" s="11" t="s">
        <v>174</v>
      </c>
      <c r="L107" s="11" t="s">
        <v>174</v>
      </c>
      <c r="M107" s="11" t="s">
        <v>174</v>
      </c>
      <c r="N107" s="11" t="s">
        <v>174</v>
      </c>
      <c r="O107" s="11" t="s">
        <v>174</v>
      </c>
      <c r="P107" s="11" t="s">
        <v>174</v>
      </c>
      <c r="Q107" s="11" t="s">
        <v>174</v>
      </c>
      <c r="R107" s="11" t="s">
        <v>174</v>
      </c>
      <c r="S107" s="11" t="s">
        <v>174</v>
      </c>
      <c r="T107" s="11" t="s">
        <v>174</v>
      </c>
    </row>
    <row r="108" spans="1:20" ht="36" customHeight="1">
      <c r="A108" s="123" t="s">
        <v>191</v>
      </c>
      <c r="B108" s="179" t="s">
        <v>335</v>
      </c>
      <c r="C108" s="75">
        <f>0</f>
        <v>0</v>
      </c>
      <c r="D108" s="4">
        <f>0</f>
        <v>0</v>
      </c>
      <c r="E108" s="4">
        <f>0</f>
        <v>0</v>
      </c>
      <c r="F108" s="5">
        <f>0</f>
        <v>0</v>
      </c>
      <c r="G108" s="6">
        <f>0</f>
        <v>0</v>
      </c>
      <c r="H108" s="7">
        <f>0</f>
        <v>0</v>
      </c>
      <c r="I108" s="7">
        <f>0</f>
        <v>0</v>
      </c>
      <c r="J108" s="7">
        <f>0</f>
        <v>0</v>
      </c>
      <c r="K108" s="7">
        <f>0</f>
        <v>0</v>
      </c>
      <c r="L108" s="7">
        <f>0</f>
        <v>0</v>
      </c>
      <c r="M108" s="7">
        <f>0</f>
        <v>0</v>
      </c>
      <c r="N108" s="7">
        <f>0</f>
        <v>0</v>
      </c>
      <c r="O108" s="7">
        <f>0</f>
        <v>0</v>
      </c>
      <c r="P108" s="7">
        <f>0</f>
        <v>0</v>
      </c>
      <c r="Q108" s="7">
        <f>0</f>
        <v>0</v>
      </c>
      <c r="R108" s="7">
        <f>0</f>
        <v>0</v>
      </c>
      <c r="S108" s="7">
        <f>0</f>
        <v>0</v>
      </c>
      <c r="T108" s="7">
        <f>0</f>
        <v>0</v>
      </c>
    </row>
    <row r="109" spans="1:20" ht="30" customHeight="1">
      <c r="A109" s="123" t="s">
        <v>192</v>
      </c>
      <c r="B109" s="179" t="s">
        <v>336</v>
      </c>
      <c r="C109" s="77" t="s">
        <v>174</v>
      </c>
      <c r="D109" s="8" t="s">
        <v>174</v>
      </c>
      <c r="E109" s="8" t="s">
        <v>174</v>
      </c>
      <c r="F109" s="9" t="s">
        <v>174</v>
      </c>
      <c r="G109" s="142">
        <f>0</f>
        <v>0</v>
      </c>
      <c r="H109" s="130">
        <f>0</f>
        <v>0</v>
      </c>
      <c r="I109" s="130">
        <f>0</f>
        <v>0</v>
      </c>
      <c r="J109" s="130">
        <f>0</f>
        <v>0</v>
      </c>
      <c r="K109" s="130">
        <f>0</f>
        <v>0</v>
      </c>
      <c r="L109" s="130">
        <f>0</f>
        <v>0</v>
      </c>
      <c r="M109" s="130">
        <f>0</f>
        <v>0</v>
      </c>
      <c r="N109" s="130">
        <f>0</f>
        <v>0</v>
      </c>
      <c r="O109" s="130">
        <f>0</f>
        <v>0</v>
      </c>
      <c r="P109" s="130">
        <f>0</f>
        <v>0</v>
      </c>
      <c r="Q109" s="130">
        <f>0</f>
        <v>0</v>
      </c>
      <c r="R109" s="130">
        <f>0</f>
        <v>0</v>
      </c>
      <c r="S109" s="130">
        <f>0</f>
        <v>0</v>
      </c>
      <c r="T109" s="130">
        <f>0</f>
        <v>0</v>
      </c>
    </row>
    <row r="110" spans="1:20" ht="31.5" customHeight="1">
      <c r="A110" s="131" t="s">
        <v>193</v>
      </c>
      <c r="B110" s="182" t="s">
        <v>337</v>
      </c>
      <c r="C110" s="83" t="s">
        <v>174</v>
      </c>
      <c r="D110" s="84" t="s">
        <v>174</v>
      </c>
      <c r="E110" s="84" t="s">
        <v>174</v>
      </c>
      <c r="F110" s="85" t="s">
        <v>174</v>
      </c>
      <c r="G110" s="143">
        <f>0</f>
        <v>0</v>
      </c>
      <c r="H110" s="132">
        <f>0</f>
        <v>0</v>
      </c>
      <c r="I110" s="132">
        <f>0</f>
        <v>0</v>
      </c>
      <c r="J110" s="132">
        <f>0</f>
        <v>0</v>
      </c>
      <c r="K110" s="132">
        <f>0</f>
        <v>0</v>
      </c>
      <c r="L110" s="132">
        <f>0</f>
        <v>0</v>
      </c>
      <c r="M110" s="132">
        <f>0</f>
        <v>0</v>
      </c>
      <c r="N110" s="132">
        <f>0</f>
        <v>0</v>
      </c>
      <c r="O110" s="132">
        <f>0</f>
        <v>0</v>
      </c>
      <c r="P110" s="132">
        <f>0</f>
        <v>0</v>
      </c>
      <c r="Q110" s="132">
        <f>0</f>
        <v>0</v>
      </c>
      <c r="R110" s="132">
        <f>0</f>
        <v>0</v>
      </c>
      <c r="S110" s="132">
        <f>0</f>
        <v>0</v>
      </c>
      <c r="T110" s="132">
        <f>0</f>
        <v>0</v>
      </c>
    </row>
    <row r="111" spans="1:20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</row>
  </sheetData>
  <sheetProtection algorithmName="SHA-512" hashValue="GtBvjm3YxeT2yqQMd5k7ouOXwUZilmxIjWwv1haVVh+ENmA4Tl3U0pvXJpCvTwet2c3LXA7r0hCWW4QNg6LHlQ==" saltValue="zClhit2QuR0KM9kc4HK7tg==" spinCount="100000" sheet="1" objects="1" scenarios="1" formatCells="0" formatColumns="0" formatRows="0" insertColumns="0" deleteColumns="0"/>
  <mergeCells count="2">
    <mergeCell ref="C2:D2"/>
    <mergeCell ref="A1:T1"/>
  </mergeCells>
  <conditionalFormatting sqref="G57:T58">
    <cfRule type="expression" dxfId="1" priority="14" stopIfTrue="1">
      <formula>LEFT(G57,3)="Nie"</formula>
    </cfRule>
  </conditionalFormatting>
  <conditionalFormatting sqref="G65:T66 G69:T70">
    <cfRule type="cellIs" dxfId="0" priority="13" stopIfTrue="1" operator="equal">
      <formula>"Nie spełniona"</formula>
    </cfRule>
  </conditionalFormatting>
  <pageMargins left="0.11811023622047245" right="0.11811023622047245" top="1.2598425196850394" bottom="0.78740157480314965" header="0.70866141732283472" footer="0.70866141732283472"/>
  <pageSetup paperSize="9" scale="60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19" man="1"/>
    <brk id="77" max="19" man="1"/>
    <brk id="9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2"/>
  <sheetViews>
    <sheetView view="pageBreakPreview" zoomScaleNormal="100" zoomScaleSheetLayoutView="100" workbookViewId="0">
      <pane ySplit="5" topLeftCell="A33" activePane="bottomLeft" state="frozen"/>
      <selection pane="bottomLeft" activeCell="N73" sqref="N73"/>
    </sheetView>
  </sheetViews>
  <sheetFormatPr defaultRowHeight="12.75"/>
  <cols>
    <col min="1" max="1" width="7.85546875" style="67" customWidth="1"/>
    <col min="2" max="2" width="53" style="12" customWidth="1"/>
    <col min="3" max="3" width="19.42578125" style="14" customWidth="1"/>
    <col min="4" max="5" width="7.42578125" style="67" customWidth="1"/>
    <col min="6" max="6" width="14.7109375" style="12" customWidth="1"/>
    <col min="7" max="7" width="15.28515625" style="12" customWidth="1"/>
    <col min="8" max="8" width="13.7109375" style="12" customWidth="1"/>
    <col min="9" max="9" width="14.5703125" style="12" customWidth="1"/>
    <col min="10" max="10" width="13.7109375" style="12" customWidth="1"/>
    <col min="11" max="11" width="13.5703125" style="12" customWidth="1"/>
    <col min="12" max="12" width="14.28515625" style="12" customWidth="1"/>
    <col min="13" max="13" width="13.42578125" style="12" customWidth="1"/>
    <col min="14" max="14" width="13.5703125" style="12" customWidth="1"/>
    <col min="15" max="15" width="14.7109375" style="12" customWidth="1"/>
    <col min="16" max="16" width="14.42578125" style="15" customWidth="1"/>
    <col min="17" max="17" width="23.5703125" style="52" customWidth="1"/>
    <col min="18" max="214" width="9.140625" style="52"/>
    <col min="215" max="244" width="9.140625" style="12"/>
    <col min="245" max="245" width="1" style="12" customWidth="1"/>
    <col min="246" max="246" width="39.140625" style="12" customWidth="1"/>
    <col min="247" max="247" width="21.42578125" style="12" customWidth="1"/>
    <col min="248" max="248" width="11.28515625" style="12" customWidth="1"/>
    <col min="249" max="249" width="9.5703125" style="12" customWidth="1"/>
    <col min="250" max="250" width="13.5703125" style="12" customWidth="1"/>
    <col min="251" max="260" width="12.140625" style="12" customWidth="1"/>
    <col min="261" max="270" width="0" style="12" hidden="1" customWidth="1"/>
    <col min="271" max="271" width="14.140625" style="12" customWidth="1"/>
    <col min="272" max="500" width="9.140625" style="12"/>
    <col min="501" max="501" width="1" style="12" customWidth="1"/>
    <col min="502" max="502" width="39.140625" style="12" customWidth="1"/>
    <col min="503" max="503" width="21.42578125" style="12" customWidth="1"/>
    <col min="504" max="504" width="11.28515625" style="12" customWidth="1"/>
    <col min="505" max="505" width="9.5703125" style="12" customWidth="1"/>
    <col min="506" max="506" width="13.5703125" style="12" customWidth="1"/>
    <col min="507" max="516" width="12.140625" style="12" customWidth="1"/>
    <col min="517" max="526" width="0" style="12" hidden="1" customWidth="1"/>
    <col min="527" max="527" width="14.140625" style="12" customWidth="1"/>
    <col min="528" max="756" width="9.140625" style="12"/>
    <col min="757" max="757" width="1" style="12" customWidth="1"/>
    <col min="758" max="758" width="39.140625" style="12" customWidth="1"/>
    <col min="759" max="759" width="21.42578125" style="12" customWidth="1"/>
    <col min="760" max="760" width="11.28515625" style="12" customWidth="1"/>
    <col min="761" max="761" width="9.5703125" style="12" customWidth="1"/>
    <col min="762" max="762" width="13.5703125" style="12" customWidth="1"/>
    <col min="763" max="772" width="12.140625" style="12" customWidth="1"/>
    <col min="773" max="782" width="0" style="12" hidden="1" customWidth="1"/>
    <col min="783" max="783" width="14.140625" style="12" customWidth="1"/>
    <col min="784" max="1012" width="9.140625" style="12"/>
    <col min="1013" max="1013" width="1" style="12" customWidth="1"/>
    <col min="1014" max="1014" width="39.140625" style="12" customWidth="1"/>
    <col min="1015" max="1015" width="21.42578125" style="12" customWidth="1"/>
    <col min="1016" max="1016" width="11.28515625" style="12" customWidth="1"/>
    <col min="1017" max="1017" width="9.5703125" style="12" customWidth="1"/>
    <col min="1018" max="1018" width="13.5703125" style="12" customWidth="1"/>
    <col min="1019" max="1028" width="12.140625" style="12" customWidth="1"/>
    <col min="1029" max="1038" width="0" style="12" hidden="1" customWidth="1"/>
    <col min="1039" max="1039" width="14.140625" style="12" customWidth="1"/>
    <col min="1040" max="1268" width="9.140625" style="12"/>
    <col min="1269" max="1269" width="1" style="12" customWidth="1"/>
    <col min="1270" max="1270" width="39.140625" style="12" customWidth="1"/>
    <col min="1271" max="1271" width="21.42578125" style="12" customWidth="1"/>
    <col min="1272" max="1272" width="11.28515625" style="12" customWidth="1"/>
    <col min="1273" max="1273" width="9.5703125" style="12" customWidth="1"/>
    <col min="1274" max="1274" width="13.5703125" style="12" customWidth="1"/>
    <col min="1275" max="1284" width="12.140625" style="12" customWidth="1"/>
    <col min="1285" max="1294" width="0" style="12" hidden="1" customWidth="1"/>
    <col min="1295" max="1295" width="14.140625" style="12" customWidth="1"/>
    <col min="1296" max="1524" width="9.140625" style="12"/>
    <col min="1525" max="1525" width="1" style="12" customWidth="1"/>
    <col min="1526" max="1526" width="39.140625" style="12" customWidth="1"/>
    <col min="1527" max="1527" width="21.42578125" style="12" customWidth="1"/>
    <col min="1528" max="1528" width="11.28515625" style="12" customWidth="1"/>
    <col min="1529" max="1529" width="9.5703125" style="12" customWidth="1"/>
    <col min="1530" max="1530" width="13.5703125" style="12" customWidth="1"/>
    <col min="1531" max="1540" width="12.140625" style="12" customWidth="1"/>
    <col min="1541" max="1550" width="0" style="12" hidden="1" customWidth="1"/>
    <col min="1551" max="1551" width="14.140625" style="12" customWidth="1"/>
    <col min="1552" max="1780" width="9.140625" style="12"/>
    <col min="1781" max="1781" width="1" style="12" customWidth="1"/>
    <col min="1782" max="1782" width="39.140625" style="12" customWidth="1"/>
    <col min="1783" max="1783" width="21.42578125" style="12" customWidth="1"/>
    <col min="1784" max="1784" width="11.28515625" style="12" customWidth="1"/>
    <col min="1785" max="1785" width="9.5703125" style="12" customWidth="1"/>
    <col min="1786" max="1786" width="13.5703125" style="12" customWidth="1"/>
    <col min="1787" max="1796" width="12.140625" style="12" customWidth="1"/>
    <col min="1797" max="1806" width="0" style="12" hidden="1" customWidth="1"/>
    <col min="1807" max="1807" width="14.140625" style="12" customWidth="1"/>
    <col min="1808" max="2036" width="9.140625" style="12"/>
    <col min="2037" max="2037" width="1" style="12" customWidth="1"/>
    <col min="2038" max="2038" width="39.140625" style="12" customWidth="1"/>
    <col min="2039" max="2039" width="21.42578125" style="12" customWidth="1"/>
    <col min="2040" max="2040" width="11.28515625" style="12" customWidth="1"/>
    <col min="2041" max="2041" width="9.5703125" style="12" customWidth="1"/>
    <col min="2042" max="2042" width="13.5703125" style="12" customWidth="1"/>
    <col min="2043" max="2052" width="12.140625" style="12" customWidth="1"/>
    <col min="2053" max="2062" width="0" style="12" hidden="1" customWidth="1"/>
    <col min="2063" max="2063" width="14.140625" style="12" customWidth="1"/>
    <col min="2064" max="2292" width="9.140625" style="12"/>
    <col min="2293" max="2293" width="1" style="12" customWidth="1"/>
    <col min="2294" max="2294" width="39.140625" style="12" customWidth="1"/>
    <col min="2295" max="2295" width="21.42578125" style="12" customWidth="1"/>
    <col min="2296" max="2296" width="11.28515625" style="12" customWidth="1"/>
    <col min="2297" max="2297" width="9.5703125" style="12" customWidth="1"/>
    <col min="2298" max="2298" width="13.5703125" style="12" customWidth="1"/>
    <col min="2299" max="2308" width="12.140625" style="12" customWidth="1"/>
    <col min="2309" max="2318" width="0" style="12" hidden="1" customWidth="1"/>
    <col min="2319" max="2319" width="14.140625" style="12" customWidth="1"/>
    <col min="2320" max="2548" width="9.140625" style="12"/>
    <col min="2549" max="2549" width="1" style="12" customWidth="1"/>
    <col min="2550" max="2550" width="39.140625" style="12" customWidth="1"/>
    <col min="2551" max="2551" width="21.42578125" style="12" customWidth="1"/>
    <col min="2552" max="2552" width="11.28515625" style="12" customWidth="1"/>
    <col min="2553" max="2553" width="9.5703125" style="12" customWidth="1"/>
    <col min="2554" max="2554" width="13.5703125" style="12" customWidth="1"/>
    <col min="2555" max="2564" width="12.140625" style="12" customWidth="1"/>
    <col min="2565" max="2574" width="0" style="12" hidden="1" customWidth="1"/>
    <col min="2575" max="2575" width="14.140625" style="12" customWidth="1"/>
    <col min="2576" max="2804" width="9.140625" style="12"/>
    <col min="2805" max="2805" width="1" style="12" customWidth="1"/>
    <col min="2806" max="2806" width="39.140625" style="12" customWidth="1"/>
    <col min="2807" max="2807" width="21.42578125" style="12" customWidth="1"/>
    <col min="2808" max="2808" width="11.28515625" style="12" customWidth="1"/>
    <col min="2809" max="2809" width="9.5703125" style="12" customWidth="1"/>
    <col min="2810" max="2810" width="13.5703125" style="12" customWidth="1"/>
    <col min="2811" max="2820" width="12.140625" style="12" customWidth="1"/>
    <col min="2821" max="2830" width="0" style="12" hidden="1" customWidth="1"/>
    <col min="2831" max="2831" width="14.140625" style="12" customWidth="1"/>
    <col min="2832" max="3060" width="9.140625" style="12"/>
    <col min="3061" max="3061" width="1" style="12" customWidth="1"/>
    <col min="3062" max="3062" width="39.140625" style="12" customWidth="1"/>
    <col min="3063" max="3063" width="21.42578125" style="12" customWidth="1"/>
    <col min="3064" max="3064" width="11.28515625" style="12" customWidth="1"/>
    <col min="3065" max="3065" width="9.5703125" style="12" customWidth="1"/>
    <col min="3066" max="3066" width="13.5703125" style="12" customWidth="1"/>
    <col min="3067" max="3076" width="12.140625" style="12" customWidth="1"/>
    <col min="3077" max="3086" width="0" style="12" hidden="1" customWidth="1"/>
    <col min="3087" max="3087" width="14.140625" style="12" customWidth="1"/>
    <col min="3088" max="3316" width="9.140625" style="12"/>
    <col min="3317" max="3317" width="1" style="12" customWidth="1"/>
    <col min="3318" max="3318" width="39.140625" style="12" customWidth="1"/>
    <col min="3319" max="3319" width="21.42578125" style="12" customWidth="1"/>
    <col min="3320" max="3320" width="11.28515625" style="12" customWidth="1"/>
    <col min="3321" max="3321" width="9.5703125" style="12" customWidth="1"/>
    <col min="3322" max="3322" width="13.5703125" style="12" customWidth="1"/>
    <col min="3323" max="3332" width="12.140625" style="12" customWidth="1"/>
    <col min="3333" max="3342" width="0" style="12" hidden="1" customWidth="1"/>
    <col min="3343" max="3343" width="14.140625" style="12" customWidth="1"/>
    <col min="3344" max="3572" width="9.140625" style="12"/>
    <col min="3573" max="3573" width="1" style="12" customWidth="1"/>
    <col min="3574" max="3574" width="39.140625" style="12" customWidth="1"/>
    <col min="3575" max="3575" width="21.42578125" style="12" customWidth="1"/>
    <col min="3576" max="3576" width="11.28515625" style="12" customWidth="1"/>
    <col min="3577" max="3577" width="9.5703125" style="12" customWidth="1"/>
    <col min="3578" max="3578" width="13.5703125" style="12" customWidth="1"/>
    <col min="3579" max="3588" width="12.140625" style="12" customWidth="1"/>
    <col min="3589" max="3598" width="0" style="12" hidden="1" customWidth="1"/>
    <col min="3599" max="3599" width="14.140625" style="12" customWidth="1"/>
    <col min="3600" max="3828" width="9.140625" style="12"/>
    <col min="3829" max="3829" width="1" style="12" customWidth="1"/>
    <col min="3830" max="3830" width="39.140625" style="12" customWidth="1"/>
    <col min="3831" max="3831" width="21.42578125" style="12" customWidth="1"/>
    <col min="3832" max="3832" width="11.28515625" style="12" customWidth="1"/>
    <col min="3833" max="3833" width="9.5703125" style="12" customWidth="1"/>
    <col min="3834" max="3834" width="13.5703125" style="12" customWidth="1"/>
    <col min="3835" max="3844" width="12.140625" style="12" customWidth="1"/>
    <col min="3845" max="3854" width="0" style="12" hidden="1" customWidth="1"/>
    <col min="3855" max="3855" width="14.140625" style="12" customWidth="1"/>
    <col min="3856" max="4084" width="9.140625" style="12"/>
    <col min="4085" max="4085" width="1" style="12" customWidth="1"/>
    <col min="4086" max="4086" width="39.140625" style="12" customWidth="1"/>
    <col min="4087" max="4087" width="21.42578125" style="12" customWidth="1"/>
    <col min="4088" max="4088" width="11.28515625" style="12" customWidth="1"/>
    <col min="4089" max="4089" width="9.5703125" style="12" customWidth="1"/>
    <col min="4090" max="4090" width="13.5703125" style="12" customWidth="1"/>
    <col min="4091" max="4100" width="12.140625" style="12" customWidth="1"/>
    <col min="4101" max="4110" width="0" style="12" hidden="1" customWidth="1"/>
    <col min="4111" max="4111" width="14.140625" style="12" customWidth="1"/>
    <col min="4112" max="4340" width="9.140625" style="12"/>
    <col min="4341" max="4341" width="1" style="12" customWidth="1"/>
    <col min="4342" max="4342" width="39.140625" style="12" customWidth="1"/>
    <col min="4343" max="4343" width="21.42578125" style="12" customWidth="1"/>
    <col min="4344" max="4344" width="11.28515625" style="12" customWidth="1"/>
    <col min="4345" max="4345" width="9.5703125" style="12" customWidth="1"/>
    <col min="4346" max="4346" width="13.5703125" style="12" customWidth="1"/>
    <col min="4347" max="4356" width="12.140625" style="12" customWidth="1"/>
    <col min="4357" max="4366" width="0" style="12" hidden="1" customWidth="1"/>
    <col min="4367" max="4367" width="14.140625" style="12" customWidth="1"/>
    <col min="4368" max="4596" width="9.140625" style="12"/>
    <col min="4597" max="4597" width="1" style="12" customWidth="1"/>
    <col min="4598" max="4598" width="39.140625" style="12" customWidth="1"/>
    <col min="4599" max="4599" width="21.42578125" style="12" customWidth="1"/>
    <col min="4600" max="4600" width="11.28515625" style="12" customWidth="1"/>
    <col min="4601" max="4601" width="9.5703125" style="12" customWidth="1"/>
    <col min="4602" max="4602" width="13.5703125" style="12" customWidth="1"/>
    <col min="4603" max="4612" width="12.140625" style="12" customWidth="1"/>
    <col min="4613" max="4622" width="0" style="12" hidden="1" customWidth="1"/>
    <col min="4623" max="4623" width="14.140625" style="12" customWidth="1"/>
    <col min="4624" max="4852" width="9.140625" style="12"/>
    <col min="4853" max="4853" width="1" style="12" customWidth="1"/>
    <col min="4854" max="4854" width="39.140625" style="12" customWidth="1"/>
    <col min="4855" max="4855" width="21.42578125" style="12" customWidth="1"/>
    <col min="4856" max="4856" width="11.28515625" style="12" customWidth="1"/>
    <col min="4857" max="4857" width="9.5703125" style="12" customWidth="1"/>
    <col min="4858" max="4858" width="13.5703125" style="12" customWidth="1"/>
    <col min="4859" max="4868" width="12.140625" style="12" customWidth="1"/>
    <col min="4869" max="4878" width="0" style="12" hidden="1" customWidth="1"/>
    <col min="4879" max="4879" width="14.140625" style="12" customWidth="1"/>
    <col min="4880" max="5108" width="9.140625" style="12"/>
    <col min="5109" max="5109" width="1" style="12" customWidth="1"/>
    <col min="5110" max="5110" width="39.140625" style="12" customWidth="1"/>
    <col min="5111" max="5111" width="21.42578125" style="12" customWidth="1"/>
    <col min="5112" max="5112" width="11.28515625" style="12" customWidth="1"/>
    <col min="5113" max="5113" width="9.5703125" style="12" customWidth="1"/>
    <col min="5114" max="5114" width="13.5703125" style="12" customWidth="1"/>
    <col min="5115" max="5124" width="12.140625" style="12" customWidth="1"/>
    <col min="5125" max="5134" width="0" style="12" hidden="1" customWidth="1"/>
    <col min="5135" max="5135" width="14.140625" style="12" customWidth="1"/>
    <col min="5136" max="5364" width="9.140625" style="12"/>
    <col min="5365" max="5365" width="1" style="12" customWidth="1"/>
    <col min="5366" max="5366" width="39.140625" style="12" customWidth="1"/>
    <col min="5367" max="5367" width="21.42578125" style="12" customWidth="1"/>
    <col min="5368" max="5368" width="11.28515625" style="12" customWidth="1"/>
    <col min="5369" max="5369" width="9.5703125" style="12" customWidth="1"/>
    <col min="5370" max="5370" width="13.5703125" style="12" customWidth="1"/>
    <col min="5371" max="5380" width="12.140625" style="12" customWidth="1"/>
    <col min="5381" max="5390" width="0" style="12" hidden="1" customWidth="1"/>
    <col min="5391" max="5391" width="14.140625" style="12" customWidth="1"/>
    <col min="5392" max="5620" width="9.140625" style="12"/>
    <col min="5621" max="5621" width="1" style="12" customWidth="1"/>
    <col min="5622" max="5622" width="39.140625" style="12" customWidth="1"/>
    <col min="5623" max="5623" width="21.42578125" style="12" customWidth="1"/>
    <col min="5624" max="5624" width="11.28515625" style="12" customWidth="1"/>
    <col min="5625" max="5625" width="9.5703125" style="12" customWidth="1"/>
    <col min="5626" max="5626" width="13.5703125" style="12" customWidth="1"/>
    <col min="5627" max="5636" width="12.140625" style="12" customWidth="1"/>
    <col min="5637" max="5646" width="0" style="12" hidden="1" customWidth="1"/>
    <col min="5647" max="5647" width="14.140625" style="12" customWidth="1"/>
    <col min="5648" max="5876" width="9.140625" style="12"/>
    <col min="5877" max="5877" width="1" style="12" customWidth="1"/>
    <col min="5878" max="5878" width="39.140625" style="12" customWidth="1"/>
    <col min="5879" max="5879" width="21.42578125" style="12" customWidth="1"/>
    <col min="5880" max="5880" width="11.28515625" style="12" customWidth="1"/>
    <col min="5881" max="5881" width="9.5703125" style="12" customWidth="1"/>
    <col min="5882" max="5882" width="13.5703125" style="12" customWidth="1"/>
    <col min="5883" max="5892" width="12.140625" style="12" customWidth="1"/>
    <col min="5893" max="5902" width="0" style="12" hidden="1" customWidth="1"/>
    <col min="5903" max="5903" width="14.140625" style="12" customWidth="1"/>
    <col min="5904" max="6132" width="9.140625" style="12"/>
    <col min="6133" max="6133" width="1" style="12" customWidth="1"/>
    <col min="6134" max="6134" width="39.140625" style="12" customWidth="1"/>
    <col min="6135" max="6135" width="21.42578125" style="12" customWidth="1"/>
    <col min="6136" max="6136" width="11.28515625" style="12" customWidth="1"/>
    <col min="6137" max="6137" width="9.5703125" style="12" customWidth="1"/>
    <col min="6138" max="6138" width="13.5703125" style="12" customWidth="1"/>
    <col min="6139" max="6148" width="12.140625" style="12" customWidth="1"/>
    <col min="6149" max="6158" width="0" style="12" hidden="1" customWidth="1"/>
    <col min="6159" max="6159" width="14.140625" style="12" customWidth="1"/>
    <col min="6160" max="6388" width="9.140625" style="12"/>
    <col min="6389" max="6389" width="1" style="12" customWidth="1"/>
    <col min="6390" max="6390" width="39.140625" style="12" customWidth="1"/>
    <col min="6391" max="6391" width="21.42578125" style="12" customWidth="1"/>
    <col min="6392" max="6392" width="11.28515625" style="12" customWidth="1"/>
    <col min="6393" max="6393" width="9.5703125" style="12" customWidth="1"/>
    <col min="6394" max="6394" width="13.5703125" style="12" customWidth="1"/>
    <col min="6395" max="6404" width="12.140625" style="12" customWidth="1"/>
    <col min="6405" max="6414" width="0" style="12" hidden="1" customWidth="1"/>
    <col min="6415" max="6415" width="14.140625" style="12" customWidth="1"/>
    <col min="6416" max="6644" width="9.140625" style="12"/>
    <col min="6645" max="6645" width="1" style="12" customWidth="1"/>
    <col min="6646" max="6646" width="39.140625" style="12" customWidth="1"/>
    <col min="6647" max="6647" width="21.42578125" style="12" customWidth="1"/>
    <col min="6648" max="6648" width="11.28515625" style="12" customWidth="1"/>
    <col min="6649" max="6649" width="9.5703125" style="12" customWidth="1"/>
    <col min="6650" max="6650" width="13.5703125" style="12" customWidth="1"/>
    <col min="6651" max="6660" width="12.140625" style="12" customWidth="1"/>
    <col min="6661" max="6670" width="0" style="12" hidden="1" customWidth="1"/>
    <col min="6671" max="6671" width="14.140625" style="12" customWidth="1"/>
    <col min="6672" max="6900" width="9.140625" style="12"/>
    <col min="6901" max="6901" width="1" style="12" customWidth="1"/>
    <col min="6902" max="6902" width="39.140625" style="12" customWidth="1"/>
    <col min="6903" max="6903" width="21.42578125" style="12" customWidth="1"/>
    <col min="6904" max="6904" width="11.28515625" style="12" customWidth="1"/>
    <col min="6905" max="6905" width="9.5703125" style="12" customWidth="1"/>
    <col min="6906" max="6906" width="13.5703125" style="12" customWidth="1"/>
    <col min="6907" max="6916" width="12.140625" style="12" customWidth="1"/>
    <col min="6917" max="6926" width="0" style="12" hidden="1" customWidth="1"/>
    <col min="6927" max="6927" width="14.140625" style="12" customWidth="1"/>
    <col min="6928" max="7156" width="9.140625" style="12"/>
    <col min="7157" max="7157" width="1" style="12" customWidth="1"/>
    <col min="7158" max="7158" width="39.140625" style="12" customWidth="1"/>
    <col min="7159" max="7159" width="21.42578125" style="12" customWidth="1"/>
    <col min="7160" max="7160" width="11.28515625" style="12" customWidth="1"/>
    <col min="7161" max="7161" width="9.5703125" style="12" customWidth="1"/>
    <col min="7162" max="7162" width="13.5703125" style="12" customWidth="1"/>
    <col min="7163" max="7172" width="12.140625" style="12" customWidth="1"/>
    <col min="7173" max="7182" width="0" style="12" hidden="1" customWidth="1"/>
    <col min="7183" max="7183" width="14.140625" style="12" customWidth="1"/>
    <col min="7184" max="7412" width="9.140625" style="12"/>
    <col min="7413" max="7413" width="1" style="12" customWidth="1"/>
    <col min="7414" max="7414" width="39.140625" style="12" customWidth="1"/>
    <col min="7415" max="7415" width="21.42578125" style="12" customWidth="1"/>
    <col min="7416" max="7416" width="11.28515625" style="12" customWidth="1"/>
    <col min="7417" max="7417" width="9.5703125" style="12" customWidth="1"/>
    <col min="7418" max="7418" width="13.5703125" style="12" customWidth="1"/>
    <col min="7419" max="7428" width="12.140625" style="12" customWidth="1"/>
    <col min="7429" max="7438" width="0" style="12" hidden="1" customWidth="1"/>
    <col min="7439" max="7439" width="14.140625" style="12" customWidth="1"/>
    <col min="7440" max="7668" width="9.140625" style="12"/>
    <col min="7669" max="7669" width="1" style="12" customWidth="1"/>
    <col min="7670" max="7670" width="39.140625" style="12" customWidth="1"/>
    <col min="7671" max="7671" width="21.42578125" style="12" customWidth="1"/>
    <col min="7672" max="7672" width="11.28515625" style="12" customWidth="1"/>
    <col min="7673" max="7673" width="9.5703125" style="12" customWidth="1"/>
    <col min="7674" max="7674" width="13.5703125" style="12" customWidth="1"/>
    <col min="7675" max="7684" width="12.140625" style="12" customWidth="1"/>
    <col min="7685" max="7694" width="0" style="12" hidden="1" customWidth="1"/>
    <col min="7695" max="7695" width="14.140625" style="12" customWidth="1"/>
    <col min="7696" max="7924" width="9.140625" style="12"/>
    <col min="7925" max="7925" width="1" style="12" customWidth="1"/>
    <col min="7926" max="7926" width="39.140625" style="12" customWidth="1"/>
    <col min="7927" max="7927" width="21.42578125" style="12" customWidth="1"/>
    <col min="7928" max="7928" width="11.28515625" style="12" customWidth="1"/>
    <col min="7929" max="7929" width="9.5703125" style="12" customWidth="1"/>
    <col min="7930" max="7930" width="13.5703125" style="12" customWidth="1"/>
    <col min="7931" max="7940" width="12.140625" style="12" customWidth="1"/>
    <col min="7941" max="7950" width="0" style="12" hidden="1" customWidth="1"/>
    <col min="7951" max="7951" width="14.140625" style="12" customWidth="1"/>
    <col min="7952" max="8180" width="9.140625" style="12"/>
    <col min="8181" max="8181" width="1" style="12" customWidth="1"/>
    <col min="8182" max="8182" width="39.140625" style="12" customWidth="1"/>
    <col min="8183" max="8183" width="21.42578125" style="12" customWidth="1"/>
    <col min="8184" max="8184" width="11.28515625" style="12" customWidth="1"/>
    <col min="8185" max="8185" width="9.5703125" style="12" customWidth="1"/>
    <col min="8186" max="8186" width="13.5703125" style="12" customWidth="1"/>
    <col min="8187" max="8196" width="12.140625" style="12" customWidth="1"/>
    <col min="8197" max="8206" width="0" style="12" hidden="1" customWidth="1"/>
    <col min="8207" max="8207" width="14.140625" style="12" customWidth="1"/>
    <col min="8208" max="8436" width="9.140625" style="12"/>
    <col min="8437" max="8437" width="1" style="12" customWidth="1"/>
    <col min="8438" max="8438" width="39.140625" style="12" customWidth="1"/>
    <col min="8439" max="8439" width="21.42578125" style="12" customWidth="1"/>
    <col min="8440" max="8440" width="11.28515625" style="12" customWidth="1"/>
    <col min="8441" max="8441" width="9.5703125" style="12" customWidth="1"/>
    <col min="8442" max="8442" width="13.5703125" style="12" customWidth="1"/>
    <col min="8443" max="8452" width="12.140625" style="12" customWidth="1"/>
    <col min="8453" max="8462" width="0" style="12" hidden="1" customWidth="1"/>
    <col min="8463" max="8463" width="14.140625" style="12" customWidth="1"/>
    <col min="8464" max="8692" width="9.140625" style="12"/>
    <col min="8693" max="8693" width="1" style="12" customWidth="1"/>
    <col min="8694" max="8694" width="39.140625" style="12" customWidth="1"/>
    <col min="8695" max="8695" width="21.42578125" style="12" customWidth="1"/>
    <col min="8696" max="8696" width="11.28515625" style="12" customWidth="1"/>
    <col min="8697" max="8697" width="9.5703125" style="12" customWidth="1"/>
    <col min="8698" max="8698" width="13.5703125" style="12" customWidth="1"/>
    <col min="8699" max="8708" width="12.140625" style="12" customWidth="1"/>
    <col min="8709" max="8718" width="0" style="12" hidden="1" customWidth="1"/>
    <col min="8719" max="8719" width="14.140625" style="12" customWidth="1"/>
    <col min="8720" max="8948" width="9.140625" style="12"/>
    <col min="8949" max="8949" width="1" style="12" customWidth="1"/>
    <col min="8950" max="8950" width="39.140625" style="12" customWidth="1"/>
    <col min="8951" max="8951" width="21.42578125" style="12" customWidth="1"/>
    <col min="8952" max="8952" width="11.28515625" style="12" customWidth="1"/>
    <col min="8953" max="8953" width="9.5703125" style="12" customWidth="1"/>
    <col min="8954" max="8954" width="13.5703125" style="12" customWidth="1"/>
    <col min="8955" max="8964" width="12.140625" style="12" customWidth="1"/>
    <col min="8965" max="8974" width="0" style="12" hidden="1" customWidth="1"/>
    <col min="8975" max="8975" width="14.140625" style="12" customWidth="1"/>
    <col min="8976" max="9204" width="9.140625" style="12"/>
    <col min="9205" max="9205" width="1" style="12" customWidth="1"/>
    <col min="9206" max="9206" width="39.140625" style="12" customWidth="1"/>
    <col min="9207" max="9207" width="21.42578125" style="12" customWidth="1"/>
    <col min="9208" max="9208" width="11.28515625" style="12" customWidth="1"/>
    <col min="9209" max="9209" width="9.5703125" style="12" customWidth="1"/>
    <col min="9210" max="9210" width="13.5703125" style="12" customWidth="1"/>
    <col min="9211" max="9220" width="12.140625" style="12" customWidth="1"/>
    <col min="9221" max="9230" width="0" style="12" hidden="1" customWidth="1"/>
    <col min="9231" max="9231" width="14.140625" style="12" customWidth="1"/>
    <col min="9232" max="9460" width="9.140625" style="12"/>
    <col min="9461" max="9461" width="1" style="12" customWidth="1"/>
    <col min="9462" max="9462" width="39.140625" style="12" customWidth="1"/>
    <col min="9463" max="9463" width="21.42578125" style="12" customWidth="1"/>
    <col min="9464" max="9464" width="11.28515625" style="12" customWidth="1"/>
    <col min="9465" max="9465" width="9.5703125" style="12" customWidth="1"/>
    <col min="9466" max="9466" width="13.5703125" style="12" customWidth="1"/>
    <col min="9467" max="9476" width="12.140625" style="12" customWidth="1"/>
    <col min="9477" max="9486" width="0" style="12" hidden="1" customWidth="1"/>
    <col min="9487" max="9487" width="14.140625" style="12" customWidth="1"/>
    <col min="9488" max="9716" width="9.140625" style="12"/>
    <col min="9717" max="9717" width="1" style="12" customWidth="1"/>
    <col min="9718" max="9718" width="39.140625" style="12" customWidth="1"/>
    <col min="9719" max="9719" width="21.42578125" style="12" customWidth="1"/>
    <col min="9720" max="9720" width="11.28515625" style="12" customWidth="1"/>
    <col min="9721" max="9721" width="9.5703125" style="12" customWidth="1"/>
    <col min="9722" max="9722" width="13.5703125" style="12" customWidth="1"/>
    <col min="9723" max="9732" width="12.140625" style="12" customWidth="1"/>
    <col min="9733" max="9742" width="0" style="12" hidden="1" customWidth="1"/>
    <col min="9743" max="9743" width="14.140625" style="12" customWidth="1"/>
    <col min="9744" max="9972" width="9.140625" style="12"/>
    <col min="9973" max="9973" width="1" style="12" customWidth="1"/>
    <col min="9974" max="9974" width="39.140625" style="12" customWidth="1"/>
    <col min="9975" max="9975" width="21.42578125" style="12" customWidth="1"/>
    <col min="9976" max="9976" width="11.28515625" style="12" customWidth="1"/>
    <col min="9977" max="9977" width="9.5703125" style="12" customWidth="1"/>
    <col min="9978" max="9978" width="13.5703125" style="12" customWidth="1"/>
    <col min="9979" max="9988" width="12.140625" style="12" customWidth="1"/>
    <col min="9989" max="9998" width="0" style="12" hidden="1" customWidth="1"/>
    <col min="9999" max="9999" width="14.140625" style="12" customWidth="1"/>
    <col min="10000" max="10228" width="9.140625" style="12"/>
    <col min="10229" max="10229" width="1" style="12" customWidth="1"/>
    <col min="10230" max="10230" width="39.140625" style="12" customWidth="1"/>
    <col min="10231" max="10231" width="21.42578125" style="12" customWidth="1"/>
    <col min="10232" max="10232" width="11.28515625" style="12" customWidth="1"/>
    <col min="10233" max="10233" width="9.5703125" style="12" customWidth="1"/>
    <col min="10234" max="10234" width="13.5703125" style="12" customWidth="1"/>
    <col min="10235" max="10244" width="12.140625" style="12" customWidth="1"/>
    <col min="10245" max="10254" width="0" style="12" hidden="1" customWidth="1"/>
    <col min="10255" max="10255" width="14.140625" style="12" customWidth="1"/>
    <col min="10256" max="10484" width="9.140625" style="12"/>
    <col min="10485" max="10485" width="1" style="12" customWidth="1"/>
    <col min="10486" max="10486" width="39.140625" style="12" customWidth="1"/>
    <col min="10487" max="10487" width="21.42578125" style="12" customWidth="1"/>
    <col min="10488" max="10488" width="11.28515625" style="12" customWidth="1"/>
    <col min="10489" max="10489" width="9.5703125" style="12" customWidth="1"/>
    <col min="10490" max="10490" width="13.5703125" style="12" customWidth="1"/>
    <col min="10491" max="10500" width="12.140625" style="12" customWidth="1"/>
    <col min="10501" max="10510" width="0" style="12" hidden="1" customWidth="1"/>
    <col min="10511" max="10511" width="14.140625" style="12" customWidth="1"/>
    <col min="10512" max="10740" width="9.140625" style="12"/>
    <col min="10741" max="10741" width="1" style="12" customWidth="1"/>
    <col min="10742" max="10742" width="39.140625" style="12" customWidth="1"/>
    <col min="10743" max="10743" width="21.42578125" style="12" customWidth="1"/>
    <col min="10744" max="10744" width="11.28515625" style="12" customWidth="1"/>
    <col min="10745" max="10745" width="9.5703125" style="12" customWidth="1"/>
    <col min="10746" max="10746" width="13.5703125" style="12" customWidth="1"/>
    <col min="10747" max="10756" width="12.140625" style="12" customWidth="1"/>
    <col min="10757" max="10766" width="0" style="12" hidden="1" customWidth="1"/>
    <col min="10767" max="10767" width="14.140625" style="12" customWidth="1"/>
    <col min="10768" max="10996" width="9.140625" style="12"/>
    <col min="10997" max="10997" width="1" style="12" customWidth="1"/>
    <col min="10998" max="10998" width="39.140625" style="12" customWidth="1"/>
    <col min="10999" max="10999" width="21.42578125" style="12" customWidth="1"/>
    <col min="11000" max="11000" width="11.28515625" style="12" customWidth="1"/>
    <col min="11001" max="11001" width="9.5703125" style="12" customWidth="1"/>
    <col min="11002" max="11002" width="13.5703125" style="12" customWidth="1"/>
    <col min="11003" max="11012" width="12.140625" style="12" customWidth="1"/>
    <col min="11013" max="11022" width="0" style="12" hidden="1" customWidth="1"/>
    <col min="11023" max="11023" width="14.140625" style="12" customWidth="1"/>
    <col min="11024" max="11252" width="9.140625" style="12"/>
    <col min="11253" max="11253" width="1" style="12" customWidth="1"/>
    <col min="11254" max="11254" width="39.140625" style="12" customWidth="1"/>
    <col min="11255" max="11255" width="21.42578125" style="12" customWidth="1"/>
    <col min="11256" max="11256" width="11.28515625" style="12" customWidth="1"/>
    <col min="11257" max="11257" width="9.5703125" style="12" customWidth="1"/>
    <col min="11258" max="11258" width="13.5703125" style="12" customWidth="1"/>
    <col min="11259" max="11268" width="12.140625" style="12" customWidth="1"/>
    <col min="11269" max="11278" width="0" style="12" hidden="1" customWidth="1"/>
    <col min="11279" max="11279" width="14.140625" style="12" customWidth="1"/>
    <col min="11280" max="11508" width="9.140625" style="12"/>
    <col min="11509" max="11509" width="1" style="12" customWidth="1"/>
    <col min="11510" max="11510" width="39.140625" style="12" customWidth="1"/>
    <col min="11511" max="11511" width="21.42578125" style="12" customWidth="1"/>
    <col min="11512" max="11512" width="11.28515625" style="12" customWidth="1"/>
    <col min="11513" max="11513" width="9.5703125" style="12" customWidth="1"/>
    <col min="11514" max="11514" width="13.5703125" style="12" customWidth="1"/>
    <col min="11515" max="11524" width="12.140625" style="12" customWidth="1"/>
    <col min="11525" max="11534" width="0" style="12" hidden="1" customWidth="1"/>
    <col min="11535" max="11535" width="14.140625" style="12" customWidth="1"/>
    <col min="11536" max="11764" width="9.140625" style="12"/>
    <col min="11765" max="11765" width="1" style="12" customWidth="1"/>
    <col min="11766" max="11766" width="39.140625" style="12" customWidth="1"/>
    <col min="11767" max="11767" width="21.42578125" style="12" customWidth="1"/>
    <col min="11768" max="11768" width="11.28515625" style="12" customWidth="1"/>
    <col min="11769" max="11769" width="9.5703125" style="12" customWidth="1"/>
    <col min="11770" max="11770" width="13.5703125" style="12" customWidth="1"/>
    <col min="11771" max="11780" width="12.140625" style="12" customWidth="1"/>
    <col min="11781" max="11790" width="0" style="12" hidden="1" customWidth="1"/>
    <col min="11791" max="11791" width="14.140625" style="12" customWidth="1"/>
    <col min="11792" max="12020" width="9.140625" style="12"/>
    <col min="12021" max="12021" width="1" style="12" customWidth="1"/>
    <col min="12022" max="12022" width="39.140625" style="12" customWidth="1"/>
    <col min="12023" max="12023" width="21.42578125" style="12" customWidth="1"/>
    <col min="12024" max="12024" width="11.28515625" style="12" customWidth="1"/>
    <col min="12025" max="12025" width="9.5703125" style="12" customWidth="1"/>
    <col min="12026" max="12026" width="13.5703125" style="12" customWidth="1"/>
    <col min="12027" max="12036" width="12.140625" style="12" customWidth="1"/>
    <col min="12037" max="12046" width="0" style="12" hidden="1" customWidth="1"/>
    <col min="12047" max="12047" width="14.140625" style="12" customWidth="1"/>
    <col min="12048" max="12276" width="9.140625" style="12"/>
    <col min="12277" max="12277" width="1" style="12" customWidth="1"/>
    <col min="12278" max="12278" width="39.140625" style="12" customWidth="1"/>
    <col min="12279" max="12279" width="21.42578125" style="12" customWidth="1"/>
    <col min="12280" max="12280" width="11.28515625" style="12" customWidth="1"/>
    <col min="12281" max="12281" width="9.5703125" style="12" customWidth="1"/>
    <col min="12282" max="12282" width="13.5703125" style="12" customWidth="1"/>
    <col min="12283" max="12292" width="12.140625" style="12" customWidth="1"/>
    <col min="12293" max="12302" width="0" style="12" hidden="1" customWidth="1"/>
    <col min="12303" max="12303" width="14.140625" style="12" customWidth="1"/>
    <col min="12304" max="12532" width="9.140625" style="12"/>
    <col min="12533" max="12533" width="1" style="12" customWidth="1"/>
    <col min="12534" max="12534" width="39.140625" style="12" customWidth="1"/>
    <col min="12535" max="12535" width="21.42578125" style="12" customWidth="1"/>
    <col min="12536" max="12536" width="11.28515625" style="12" customWidth="1"/>
    <col min="12537" max="12537" width="9.5703125" style="12" customWidth="1"/>
    <col min="12538" max="12538" width="13.5703125" style="12" customWidth="1"/>
    <col min="12539" max="12548" width="12.140625" style="12" customWidth="1"/>
    <col min="12549" max="12558" width="0" style="12" hidden="1" customWidth="1"/>
    <col min="12559" max="12559" width="14.140625" style="12" customWidth="1"/>
    <col min="12560" max="12788" width="9.140625" style="12"/>
    <col min="12789" max="12789" width="1" style="12" customWidth="1"/>
    <col min="12790" max="12790" width="39.140625" style="12" customWidth="1"/>
    <col min="12791" max="12791" width="21.42578125" style="12" customWidth="1"/>
    <col min="12792" max="12792" width="11.28515625" style="12" customWidth="1"/>
    <col min="12793" max="12793" width="9.5703125" style="12" customWidth="1"/>
    <col min="12794" max="12794" width="13.5703125" style="12" customWidth="1"/>
    <col min="12795" max="12804" width="12.140625" style="12" customWidth="1"/>
    <col min="12805" max="12814" width="0" style="12" hidden="1" customWidth="1"/>
    <col min="12815" max="12815" width="14.140625" style="12" customWidth="1"/>
    <col min="12816" max="13044" width="9.140625" style="12"/>
    <col min="13045" max="13045" width="1" style="12" customWidth="1"/>
    <col min="13046" max="13046" width="39.140625" style="12" customWidth="1"/>
    <col min="13047" max="13047" width="21.42578125" style="12" customWidth="1"/>
    <col min="13048" max="13048" width="11.28515625" style="12" customWidth="1"/>
    <col min="13049" max="13049" width="9.5703125" style="12" customWidth="1"/>
    <col min="13050" max="13050" width="13.5703125" style="12" customWidth="1"/>
    <col min="13051" max="13060" width="12.140625" style="12" customWidth="1"/>
    <col min="13061" max="13070" width="0" style="12" hidden="1" customWidth="1"/>
    <col min="13071" max="13071" width="14.140625" style="12" customWidth="1"/>
    <col min="13072" max="13300" width="9.140625" style="12"/>
    <col min="13301" max="13301" width="1" style="12" customWidth="1"/>
    <col min="13302" max="13302" width="39.140625" style="12" customWidth="1"/>
    <col min="13303" max="13303" width="21.42578125" style="12" customWidth="1"/>
    <col min="13304" max="13304" width="11.28515625" style="12" customWidth="1"/>
    <col min="13305" max="13305" width="9.5703125" style="12" customWidth="1"/>
    <col min="13306" max="13306" width="13.5703125" style="12" customWidth="1"/>
    <col min="13307" max="13316" width="12.140625" style="12" customWidth="1"/>
    <col min="13317" max="13326" width="0" style="12" hidden="1" customWidth="1"/>
    <col min="13327" max="13327" width="14.140625" style="12" customWidth="1"/>
    <col min="13328" max="13556" width="9.140625" style="12"/>
    <col min="13557" max="13557" width="1" style="12" customWidth="1"/>
    <col min="13558" max="13558" width="39.140625" style="12" customWidth="1"/>
    <col min="13559" max="13559" width="21.42578125" style="12" customWidth="1"/>
    <col min="13560" max="13560" width="11.28515625" style="12" customWidth="1"/>
    <col min="13561" max="13561" width="9.5703125" style="12" customWidth="1"/>
    <col min="13562" max="13562" width="13.5703125" style="12" customWidth="1"/>
    <col min="13563" max="13572" width="12.140625" style="12" customWidth="1"/>
    <col min="13573" max="13582" width="0" style="12" hidden="1" customWidth="1"/>
    <col min="13583" max="13583" width="14.140625" style="12" customWidth="1"/>
    <col min="13584" max="13812" width="9.140625" style="12"/>
    <col min="13813" max="13813" width="1" style="12" customWidth="1"/>
    <col min="13814" max="13814" width="39.140625" style="12" customWidth="1"/>
    <col min="13815" max="13815" width="21.42578125" style="12" customWidth="1"/>
    <col min="13816" max="13816" width="11.28515625" style="12" customWidth="1"/>
    <col min="13817" max="13817" width="9.5703125" style="12" customWidth="1"/>
    <col min="13818" max="13818" width="13.5703125" style="12" customWidth="1"/>
    <col min="13819" max="13828" width="12.140625" style="12" customWidth="1"/>
    <col min="13829" max="13838" width="0" style="12" hidden="1" customWidth="1"/>
    <col min="13839" max="13839" width="14.140625" style="12" customWidth="1"/>
    <col min="13840" max="14068" width="9.140625" style="12"/>
    <col min="14069" max="14069" width="1" style="12" customWidth="1"/>
    <col min="14070" max="14070" width="39.140625" style="12" customWidth="1"/>
    <col min="14071" max="14071" width="21.42578125" style="12" customWidth="1"/>
    <col min="14072" max="14072" width="11.28515625" style="12" customWidth="1"/>
    <col min="14073" max="14073" width="9.5703125" style="12" customWidth="1"/>
    <col min="14074" max="14074" width="13.5703125" style="12" customWidth="1"/>
    <col min="14075" max="14084" width="12.140625" style="12" customWidth="1"/>
    <col min="14085" max="14094" width="0" style="12" hidden="1" customWidth="1"/>
    <col min="14095" max="14095" width="14.140625" style="12" customWidth="1"/>
    <col min="14096" max="14324" width="9.140625" style="12"/>
    <col min="14325" max="14325" width="1" style="12" customWidth="1"/>
    <col min="14326" max="14326" width="39.140625" style="12" customWidth="1"/>
    <col min="14327" max="14327" width="21.42578125" style="12" customWidth="1"/>
    <col min="14328" max="14328" width="11.28515625" style="12" customWidth="1"/>
    <col min="14329" max="14329" width="9.5703125" style="12" customWidth="1"/>
    <col min="14330" max="14330" width="13.5703125" style="12" customWidth="1"/>
    <col min="14331" max="14340" width="12.140625" style="12" customWidth="1"/>
    <col min="14341" max="14350" width="0" style="12" hidden="1" customWidth="1"/>
    <col min="14351" max="14351" width="14.140625" style="12" customWidth="1"/>
    <col min="14352" max="14580" width="9.140625" style="12"/>
    <col min="14581" max="14581" width="1" style="12" customWidth="1"/>
    <col min="14582" max="14582" width="39.140625" style="12" customWidth="1"/>
    <col min="14583" max="14583" width="21.42578125" style="12" customWidth="1"/>
    <col min="14584" max="14584" width="11.28515625" style="12" customWidth="1"/>
    <col min="14585" max="14585" width="9.5703125" style="12" customWidth="1"/>
    <col min="14586" max="14586" width="13.5703125" style="12" customWidth="1"/>
    <col min="14587" max="14596" width="12.140625" style="12" customWidth="1"/>
    <col min="14597" max="14606" width="0" style="12" hidden="1" customWidth="1"/>
    <col min="14607" max="14607" width="14.140625" style="12" customWidth="1"/>
    <col min="14608" max="14836" width="9.140625" style="12"/>
    <col min="14837" max="14837" width="1" style="12" customWidth="1"/>
    <col min="14838" max="14838" width="39.140625" style="12" customWidth="1"/>
    <col min="14839" max="14839" width="21.42578125" style="12" customWidth="1"/>
    <col min="14840" max="14840" width="11.28515625" style="12" customWidth="1"/>
    <col min="14841" max="14841" width="9.5703125" style="12" customWidth="1"/>
    <col min="14842" max="14842" width="13.5703125" style="12" customWidth="1"/>
    <col min="14843" max="14852" width="12.140625" style="12" customWidth="1"/>
    <col min="14853" max="14862" width="0" style="12" hidden="1" customWidth="1"/>
    <col min="14863" max="14863" width="14.140625" style="12" customWidth="1"/>
    <col min="14864" max="15092" width="9.140625" style="12"/>
    <col min="15093" max="15093" width="1" style="12" customWidth="1"/>
    <col min="15094" max="15094" width="39.140625" style="12" customWidth="1"/>
    <col min="15095" max="15095" width="21.42578125" style="12" customWidth="1"/>
    <col min="15096" max="15096" width="11.28515625" style="12" customWidth="1"/>
    <col min="15097" max="15097" width="9.5703125" style="12" customWidth="1"/>
    <col min="15098" max="15098" width="13.5703125" style="12" customWidth="1"/>
    <col min="15099" max="15108" width="12.140625" style="12" customWidth="1"/>
    <col min="15109" max="15118" width="0" style="12" hidden="1" customWidth="1"/>
    <col min="15119" max="15119" width="14.140625" style="12" customWidth="1"/>
    <col min="15120" max="15348" width="9.140625" style="12"/>
    <col min="15349" max="15349" width="1" style="12" customWidth="1"/>
    <col min="15350" max="15350" width="39.140625" style="12" customWidth="1"/>
    <col min="15351" max="15351" width="21.42578125" style="12" customWidth="1"/>
    <col min="15352" max="15352" width="11.28515625" style="12" customWidth="1"/>
    <col min="15353" max="15353" width="9.5703125" style="12" customWidth="1"/>
    <col min="15354" max="15354" width="13.5703125" style="12" customWidth="1"/>
    <col min="15355" max="15364" width="12.140625" style="12" customWidth="1"/>
    <col min="15365" max="15374" width="0" style="12" hidden="1" customWidth="1"/>
    <col min="15375" max="15375" width="14.140625" style="12" customWidth="1"/>
    <col min="15376" max="15604" width="9.140625" style="12"/>
    <col min="15605" max="15605" width="1" style="12" customWidth="1"/>
    <col min="15606" max="15606" width="39.140625" style="12" customWidth="1"/>
    <col min="15607" max="15607" width="21.42578125" style="12" customWidth="1"/>
    <col min="15608" max="15608" width="11.28515625" style="12" customWidth="1"/>
    <col min="15609" max="15609" width="9.5703125" style="12" customWidth="1"/>
    <col min="15610" max="15610" width="13.5703125" style="12" customWidth="1"/>
    <col min="15611" max="15620" width="12.140625" style="12" customWidth="1"/>
    <col min="15621" max="15630" width="0" style="12" hidden="1" customWidth="1"/>
    <col min="15631" max="15631" width="14.140625" style="12" customWidth="1"/>
    <col min="15632" max="15860" width="9.140625" style="12"/>
    <col min="15861" max="15861" width="1" style="12" customWidth="1"/>
    <col min="15862" max="15862" width="39.140625" style="12" customWidth="1"/>
    <col min="15863" max="15863" width="21.42578125" style="12" customWidth="1"/>
    <col min="15864" max="15864" width="11.28515625" style="12" customWidth="1"/>
    <col min="15865" max="15865" width="9.5703125" style="12" customWidth="1"/>
    <col min="15866" max="15866" width="13.5703125" style="12" customWidth="1"/>
    <col min="15867" max="15876" width="12.140625" style="12" customWidth="1"/>
    <col min="15877" max="15886" width="0" style="12" hidden="1" customWidth="1"/>
    <col min="15887" max="15887" width="14.140625" style="12" customWidth="1"/>
    <col min="15888" max="16116" width="9.140625" style="12"/>
    <col min="16117" max="16117" width="1" style="12" customWidth="1"/>
    <col min="16118" max="16118" width="39.140625" style="12" customWidth="1"/>
    <col min="16119" max="16119" width="21.42578125" style="12" customWidth="1"/>
    <col min="16120" max="16120" width="11.28515625" style="12" customWidth="1"/>
    <col min="16121" max="16121" width="9.5703125" style="12" customWidth="1"/>
    <col min="16122" max="16122" width="13.5703125" style="12" customWidth="1"/>
    <col min="16123" max="16132" width="12.140625" style="12" customWidth="1"/>
    <col min="16133" max="16142" width="0" style="12" hidden="1" customWidth="1"/>
    <col min="16143" max="16143" width="14.140625" style="12" customWidth="1"/>
    <col min="16144" max="16384" width="9.140625" style="12"/>
  </cols>
  <sheetData>
    <row r="1" spans="1:214" s="13" customFormat="1" ht="22.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</row>
    <row r="2" spans="1:214" ht="12.75" customHeight="1"/>
    <row r="3" spans="1:214" ht="12.75" customHeight="1"/>
    <row r="4" spans="1:214" ht="31.5" customHeight="1">
      <c r="A4" s="212" t="s">
        <v>1</v>
      </c>
      <c r="B4" s="212" t="s">
        <v>2</v>
      </c>
      <c r="C4" s="212" t="s">
        <v>3</v>
      </c>
      <c r="D4" s="212" t="s">
        <v>4</v>
      </c>
      <c r="E4" s="212"/>
      <c r="F4" s="212" t="s">
        <v>5</v>
      </c>
      <c r="G4" s="213" t="s">
        <v>348</v>
      </c>
      <c r="H4" s="214"/>
      <c r="I4" s="214"/>
      <c r="J4" s="214"/>
      <c r="K4" s="214"/>
      <c r="L4" s="214"/>
      <c r="M4" s="214"/>
      <c r="N4" s="214"/>
      <c r="O4" s="215"/>
      <c r="P4" s="212" t="s">
        <v>6</v>
      </c>
    </row>
    <row r="5" spans="1:214" s="14" customFormat="1" ht="23.25" customHeight="1">
      <c r="A5" s="212"/>
      <c r="B5" s="212"/>
      <c r="C5" s="212"/>
      <c r="D5" s="153" t="s">
        <v>7</v>
      </c>
      <c r="E5" s="153" t="s">
        <v>8</v>
      </c>
      <c r="F5" s="212"/>
      <c r="G5" s="95">
        <v>2020</v>
      </c>
      <c r="H5" s="95">
        <v>2021</v>
      </c>
      <c r="I5" s="95">
        <v>2022</v>
      </c>
      <c r="J5" s="95">
        <v>2023</v>
      </c>
      <c r="K5" s="95">
        <v>2024</v>
      </c>
      <c r="L5" s="95">
        <v>2025</v>
      </c>
      <c r="M5" s="95">
        <v>2026</v>
      </c>
      <c r="N5" s="95">
        <v>2027</v>
      </c>
      <c r="O5" s="95">
        <v>2028</v>
      </c>
      <c r="P5" s="212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</row>
    <row r="6" spans="1:214" s="18" customFormat="1" ht="15" customHeight="1">
      <c r="A6" s="17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7">
        <v>16</v>
      </c>
    </row>
    <row r="7" spans="1:214" s="21" customFormat="1" ht="18.75" customHeight="1">
      <c r="A7" s="19" t="s">
        <v>9</v>
      </c>
      <c r="B7" s="219" t="s">
        <v>10</v>
      </c>
      <c r="C7" s="219"/>
      <c r="D7" s="219"/>
      <c r="E7" s="219"/>
      <c r="F7" s="20">
        <f t="shared" ref="F7:P7" si="0">SUM(F10,F24,F27)</f>
        <v>107919918.22</v>
      </c>
      <c r="G7" s="20">
        <f t="shared" si="0"/>
        <v>18776404</v>
      </c>
      <c r="H7" s="20">
        <f t="shared" si="0"/>
        <v>14930519</v>
      </c>
      <c r="I7" s="20">
        <f t="shared" si="0"/>
        <v>12992612</v>
      </c>
      <c r="J7" s="20">
        <f t="shared" si="0"/>
        <v>13191023</v>
      </c>
      <c r="K7" s="20">
        <f t="shared" si="0"/>
        <v>11460000</v>
      </c>
      <c r="L7" s="20">
        <f t="shared" si="0"/>
        <v>10030000</v>
      </c>
      <c r="M7" s="20">
        <f t="shared" si="0"/>
        <v>3500000</v>
      </c>
      <c r="N7" s="20">
        <f t="shared" si="0"/>
        <v>1050000</v>
      </c>
      <c r="O7" s="20">
        <f t="shared" si="0"/>
        <v>700000</v>
      </c>
      <c r="P7" s="20">
        <f t="shared" si="0"/>
        <v>86630558</v>
      </c>
    </row>
    <row r="8" spans="1:214" s="21" customFormat="1" ht="18.75" customHeight="1">
      <c r="A8" s="19" t="s">
        <v>11</v>
      </c>
      <c r="B8" s="219" t="s">
        <v>12</v>
      </c>
      <c r="C8" s="219"/>
      <c r="D8" s="219"/>
      <c r="E8" s="219"/>
      <c r="F8" s="20">
        <f t="shared" ref="F8:P8" si="1">SUM(F11,F25,F28)</f>
        <v>12229577</v>
      </c>
      <c r="G8" s="20">
        <f t="shared" si="1"/>
        <v>3998998</v>
      </c>
      <c r="H8" s="20">
        <f t="shared" si="1"/>
        <v>2538032</v>
      </c>
      <c r="I8" s="20">
        <f t="shared" si="1"/>
        <v>1312612</v>
      </c>
      <c r="J8" s="20">
        <f t="shared" si="1"/>
        <v>903540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8753182</v>
      </c>
    </row>
    <row r="9" spans="1:214" s="21" customFormat="1" ht="18.75" customHeight="1">
      <c r="A9" s="19" t="s">
        <v>13</v>
      </c>
      <c r="B9" s="219" t="s">
        <v>14</v>
      </c>
      <c r="C9" s="219"/>
      <c r="D9" s="219"/>
      <c r="E9" s="219"/>
      <c r="F9" s="20">
        <f t="shared" ref="F9:P9" si="2">SUM(F22,F26,F33)</f>
        <v>95690341.219999999</v>
      </c>
      <c r="G9" s="20">
        <f t="shared" si="2"/>
        <v>14777406</v>
      </c>
      <c r="H9" s="20">
        <f>SUM(H22,H26,H33)</f>
        <v>12392487</v>
      </c>
      <c r="I9" s="20">
        <f t="shared" si="2"/>
        <v>11680000</v>
      </c>
      <c r="J9" s="20">
        <f t="shared" si="2"/>
        <v>12287483</v>
      </c>
      <c r="K9" s="20">
        <f t="shared" si="2"/>
        <v>11460000</v>
      </c>
      <c r="L9" s="20">
        <f t="shared" si="2"/>
        <v>10030000</v>
      </c>
      <c r="M9" s="20">
        <f t="shared" si="2"/>
        <v>3500000</v>
      </c>
      <c r="N9" s="20">
        <f t="shared" si="2"/>
        <v>1050000</v>
      </c>
      <c r="O9" s="20">
        <f t="shared" si="2"/>
        <v>700000</v>
      </c>
      <c r="P9" s="20">
        <f t="shared" si="2"/>
        <v>77877376</v>
      </c>
    </row>
    <row r="10" spans="1:214" s="23" customFormat="1" ht="48.75" customHeight="1">
      <c r="A10" s="19" t="s">
        <v>15</v>
      </c>
      <c r="B10" s="219" t="s">
        <v>121</v>
      </c>
      <c r="C10" s="219"/>
      <c r="D10" s="219"/>
      <c r="E10" s="219"/>
      <c r="F10" s="22">
        <f>SUM(F11,F22)</f>
        <v>7783317</v>
      </c>
      <c r="G10" s="22">
        <f t="shared" ref="G10:P10" si="3">SUM(G11,G22)</f>
        <v>3481105</v>
      </c>
      <c r="H10" s="22">
        <f t="shared" si="3"/>
        <v>1186761</v>
      </c>
      <c r="I10" s="22">
        <f t="shared" si="3"/>
        <v>243671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4911537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</row>
    <row r="11" spans="1:214" s="21" customFormat="1" ht="18.75" customHeight="1">
      <c r="A11" s="19" t="s">
        <v>16</v>
      </c>
      <c r="B11" s="219" t="s">
        <v>12</v>
      </c>
      <c r="C11" s="219"/>
      <c r="D11" s="219"/>
      <c r="E11" s="219"/>
      <c r="F11" s="20">
        <f>SUM(F12:F21)</f>
        <v>7420851</v>
      </c>
      <c r="G11" s="20">
        <f t="shared" ref="G11:P11" si="4">SUM(G12:G21)</f>
        <v>3467850</v>
      </c>
      <c r="H11" s="20">
        <f t="shared" si="4"/>
        <v>1089095</v>
      </c>
      <c r="I11" s="20">
        <f t="shared" si="4"/>
        <v>243671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4800616</v>
      </c>
    </row>
    <row r="12" spans="1:214" s="36" customFormat="1" ht="42" customHeight="1">
      <c r="A12" s="26" t="s">
        <v>98</v>
      </c>
      <c r="B12" s="24" t="s">
        <v>22</v>
      </c>
      <c r="C12" s="25" t="s">
        <v>18</v>
      </c>
      <c r="D12" s="26">
        <v>2018</v>
      </c>
      <c r="E12" s="26">
        <v>2020</v>
      </c>
      <c r="F12" s="28">
        <v>643517</v>
      </c>
      <c r="G12" s="28">
        <f>134772+18286</f>
        <v>153058</v>
      </c>
      <c r="H12" s="28"/>
      <c r="I12" s="28"/>
      <c r="J12" s="28"/>
      <c r="K12" s="28"/>
      <c r="L12" s="28"/>
      <c r="M12" s="28"/>
      <c r="N12" s="28"/>
      <c r="O12" s="28"/>
      <c r="P12" s="27">
        <f t="shared" ref="P12:P21" si="5">SUM(G12:N12)</f>
        <v>153058</v>
      </c>
    </row>
    <row r="13" spans="1:214" s="36" customFormat="1" ht="42" customHeight="1">
      <c r="A13" s="26" t="s">
        <v>99</v>
      </c>
      <c r="B13" s="24" t="s">
        <v>105</v>
      </c>
      <c r="C13" s="25" t="s">
        <v>107</v>
      </c>
      <c r="D13" s="26">
        <v>2019</v>
      </c>
      <c r="E13" s="26">
        <v>2022</v>
      </c>
      <c r="F13" s="28">
        <v>805245</v>
      </c>
      <c r="G13" s="28">
        <f>109523+109087</f>
        <v>218610</v>
      </c>
      <c r="H13" s="28">
        <v>109536</v>
      </c>
      <c r="I13" s="28">
        <v>59275</v>
      </c>
      <c r="J13" s="28"/>
      <c r="K13" s="28"/>
      <c r="L13" s="28"/>
      <c r="M13" s="28"/>
      <c r="N13" s="28"/>
      <c r="O13" s="28"/>
      <c r="P13" s="27">
        <f t="shared" si="5"/>
        <v>387421</v>
      </c>
    </row>
    <row r="14" spans="1:214" s="36" customFormat="1" ht="42" customHeight="1">
      <c r="A14" s="26" t="s">
        <v>100</v>
      </c>
      <c r="B14" s="24" t="s">
        <v>106</v>
      </c>
      <c r="C14" s="25" t="s">
        <v>18</v>
      </c>
      <c r="D14" s="26">
        <v>2019</v>
      </c>
      <c r="E14" s="26">
        <v>2022</v>
      </c>
      <c r="F14" s="28">
        <v>830404</v>
      </c>
      <c r="G14" s="28">
        <f>186287+10578</f>
        <v>196865</v>
      </c>
      <c r="H14" s="28">
        <v>181624</v>
      </c>
      <c r="I14" s="28">
        <v>59621</v>
      </c>
      <c r="J14" s="28"/>
      <c r="K14" s="28"/>
      <c r="L14" s="28"/>
      <c r="M14" s="28"/>
      <c r="N14" s="28"/>
      <c r="O14" s="28"/>
      <c r="P14" s="27">
        <f t="shared" si="5"/>
        <v>438110</v>
      </c>
    </row>
    <row r="15" spans="1:214" s="30" customFormat="1" ht="42" customHeight="1">
      <c r="A15" s="26" t="s">
        <v>19</v>
      </c>
      <c r="B15" s="24" t="s">
        <v>198</v>
      </c>
      <c r="C15" s="25" t="s">
        <v>18</v>
      </c>
      <c r="D15" s="26">
        <v>2019</v>
      </c>
      <c r="E15" s="26">
        <v>2021</v>
      </c>
      <c r="F15" s="28">
        <v>641116</v>
      </c>
      <c r="G15" s="28">
        <v>507890</v>
      </c>
      <c r="H15" s="28">
        <v>133226</v>
      </c>
      <c r="I15" s="28"/>
      <c r="J15" s="28"/>
      <c r="K15" s="28"/>
      <c r="L15" s="28"/>
      <c r="M15" s="28"/>
      <c r="N15" s="28"/>
      <c r="O15" s="28"/>
      <c r="P15" s="29">
        <f t="shared" si="5"/>
        <v>641116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</row>
    <row r="16" spans="1:214" s="30" customFormat="1" ht="42" customHeight="1">
      <c r="A16" s="26" t="s">
        <v>20</v>
      </c>
      <c r="B16" s="31" t="s">
        <v>216</v>
      </c>
      <c r="C16" s="25" t="s">
        <v>18</v>
      </c>
      <c r="D16" s="32">
        <v>2020</v>
      </c>
      <c r="E16" s="32">
        <v>2021</v>
      </c>
      <c r="F16" s="33">
        <v>256153</v>
      </c>
      <c r="G16" s="33">
        <v>204922</v>
      </c>
      <c r="H16" s="33">
        <v>51231</v>
      </c>
      <c r="I16" s="33"/>
      <c r="J16" s="33"/>
      <c r="K16" s="33"/>
      <c r="L16" s="33"/>
      <c r="M16" s="33"/>
      <c r="N16" s="33"/>
      <c r="O16" s="33"/>
      <c r="P16" s="34">
        <f t="shared" si="5"/>
        <v>256153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</row>
    <row r="17" spans="1:214" s="36" customFormat="1" ht="47.25" customHeight="1">
      <c r="A17" s="26" t="s">
        <v>101</v>
      </c>
      <c r="B17" s="86" t="s">
        <v>339</v>
      </c>
      <c r="C17" s="87" t="s">
        <v>340</v>
      </c>
      <c r="D17" s="68">
        <v>2020</v>
      </c>
      <c r="E17" s="68">
        <v>2021</v>
      </c>
      <c r="F17" s="89">
        <v>132789</v>
      </c>
      <c r="G17" s="89">
        <v>104925</v>
      </c>
      <c r="H17" s="89">
        <v>27864</v>
      </c>
      <c r="I17" s="89"/>
      <c r="J17" s="89"/>
      <c r="K17" s="89"/>
      <c r="L17" s="89"/>
      <c r="M17" s="89"/>
      <c r="N17" s="89"/>
      <c r="O17" s="89"/>
      <c r="P17" s="88">
        <f t="shared" si="5"/>
        <v>132789</v>
      </c>
    </row>
    <row r="18" spans="1:214" s="109" customFormat="1" ht="52.5" customHeight="1">
      <c r="A18" s="188" t="s">
        <v>103</v>
      </c>
      <c r="B18" s="194" t="s">
        <v>21</v>
      </c>
      <c r="C18" s="192" t="s">
        <v>17</v>
      </c>
      <c r="D18" s="188">
        <v>2018</v>
      </c>
      <c r="E18" s="188">
        <v>2020</v>
      </c>
      <c r="F18" s="190">
        <f>2794923+2+6000</f>
        <v>2800925</v>
      </c>
      <c r="G18" s="190">
        <f>1197543+17358-19512+314033+6000</f>
        <v>1515422</v>
      </c>
      <c r="H18" s="190"/>
      <c r="I18" s="190"/>
      <c r="J18" s="190"/>
      <c r="K18" s="190"/>
      <c r="L18" s="190"/>
      <c r="M18" s="190"/>
      <c r="N18" s="190"/>
      <c r="O18" s="190"/>
      <c r="P18" s="190">
        <f t="shared" si="5"/>
        <v>1515422</v>
      </c>
    </row>
    <row r="19" spans="1:214" s="36" customFormat="1" ht="68.25" customHeight="1">
      <c r="A19" s="26" t="s">
        <v>104</v>
      </c>
      <c r="B19" s="24" t="s">
        <v>347</v>
      </c>
      <c r="C19" s="25" t="s">
        <v>17</v>
      </c>
      <c r="D19" s="26">
        <v>2021</v>
      </c>
      <c r="E19" s="26">
        <v>2023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8"/>
      <c r="M19" s="28"/>
      <c r="N19" s="28"/>
      <c r="O19" s="28"/>
      <c r="P19" s="27">
        <f>SUM(G19:N19)</f>
        <v>0</v>
      </c>
    </row>
    <row r="20" spans="1:214" s="36" customFormat="1" ht="42.75" customHeight="1">
      <c r="A20" s="26" t="s">
        <v>338</v>
      </c>
      <c r="B20" s="24" t="s">
        <v>116</v>
      </c>
      <c r="C20" s="25" t="s">
        <v>17</v>
      </c>
      <c r="D20" s="26">
        <v>2019</v>
      </c>
      <c r="E20" s="26">
        <v>2021</v>
      </c>
      <c r="F20" s="28">
        <f>784000+1</f>
        <v>784001</v>
      </c>
      <c r="G20" s="28">
        <f>424712+2871</f>
        <v>427583</v>
      </c>
      <c r="H20" s="28">
        <v>322263</v>
      </c>
      <c r="I20" s="28"/>
      <c r="J20" s="28"/>
      <c r="K20" s="28"/>
      <c r="L20" s="28"/>
      <c r="M20" s="28"/>
      <c r="N20" s="28"/>
      <c r="O20" s="28"/>
      <c r="P20" s="27">
        <f t="shared" si="5"/>
        <v>749846</v>
      </c>
    </row>
    <row r="21" spans="1:214" s="36" customFormat="1" ht="42.75" customHeight="1">
      <c r="A21" s="195" t="s">
        <v>374</v>
      </c>
      <c r="B21" s="198" t="s">
        <v>373</v>
      </c>
      <c r="C21" s="199" t="s">
        <v>17</v>
      </c>
      <c r="D21" s="196">
        <v>2020</v>
      </c>
      <c r="E21" s="196">
        <v>2022</v>
      </c>
      <c r="F21" s="197">
        <v>526701</v>
      </c>
      <c r="G21" s="197">
        <v>138575</v>
      </c>
      <c r="H21" s="197">
        <v>263351</v>
      </c>
      <c r="I21" s="197">
        <v>124775</v>
      </c>
      <c r="J21" s="197"/>
      <c r="K21" s="197"/>
      <c r="L21" s="197"/>
      <c r="M21" s="197"/>
      <c r="N21" s="197"/>
      <c r="O21" s="197"/>
      <c r="P21" s="187">
        <f t="shared" si="5"/>
        <v>526701</v>
      </c>
    </row>
    <row r="22" spans="1:214" s="21" customFormat="1" ht="18.75" customHeight="1">
      <c r="A22" s="19" t="s">
        <v>23</v>
      </c>
      <c r="B22" s="216" t="s">
        <v>14</v>
      </c>
      <c r="C22" s="217"/>
      <c r="D22" s="217"/>
      <c r="E22" s="218"/>
      <c r="F22" s="20">
        <f>F23</f>
        <v>362466</v>
      </c>
      <c r="G22" s="20">
        <f t="shared" ref="G22:P22" si="6">G23</f>
        <v>13255</v>
      </c>
      <c r="H22" s="20">
        <f t="shared" si="6"/>
        <v>97666</v>
      </c>
      <c r="I22" s="20">
        <f t="shared" si="6"/>
        <v>0</v>
      </c>
      <c r="J22" s="20">
        <f t="shared" si="6"/>
        <v>0</v>
      </c>
      <c r="K22" s="20">
        <f t="shared" si="6"/>
        <v>0</v>
      </c>
      <c r="L22" s="20">
        <f t="shared" si="6"/>
        <v>0</v>
      </c>
      <c r="M22" s="20">
        <f t="shared" si="6"/>
        <v>0</v>
      </c>
      <c r="N22" s="20">
        <f t="shared" si="6"/>
        <v>0</v>
      </c>
      <c r="O22" s="20">
        <f t="shared" si="6"/>
        <v>0</v>
      </c>
      <c r="P22" s="20">
        <f t="shared" si="6"/>
        <v>110921</v>
      </c>
      <c r="Q22" s="37"/>
    </row>
    <row r="23" spans="1:214" s="52" customFormat="1" ht="53.25" customHeight="1">
      <c r="A23" s="68" t="s">
        <v>345</v>
      </c>
      <c r="B23" s="156" t="s">
        <v>349</v>
      </c>
      <c r="C23" s="87" t="s">
        <v>24</v>
      </c>
      <c r="D23" s="154">
        <v>2016</v>
      </c>
      <c r="E23" s="154">
        <v>2021</v>
      </c>
      <c r="F23" s="157">
        <f>322117+15179+5285+19885</f>
        <v>362466</v>
      </c>
      <c r="G23" s="157">
        <f>22770-14800+5285</f>
        <v>13255</v>
      </c>
      <c r="H23" s="157">
        <f>47802+29979+19885</f>
        <v>97666</v>
      </c>
      <c r="I23" s="157"/>
      <c r="J23" s="157"/>
      <c r="K23" s="157"/>
      <c r="L23" s="157"/>
      <c r="M23" s="157"/>
      <c r="N23" s="157"/>
      <c r="O23" s="157"/>
      <c r="P23" s="155">
        <f>SUM(G23:O23)</f>
        <v>110921</v>
      </c>
      <c r="Q23" s="158"/>
    </row>
    <row r="24" spans="1:214" s="23" customFormat="1" ht="33.75" customHeight="1">
      <c r="A24" s="19" t="s">
        <v>25</v>
      </c>
      <c r="B24" s="216" t="s">
        <v>26</v>
      </c>
      <c r="C24" s="217"/>
      <c r="D24" s="217"/>
      <c r="E24" s="218"/>
      <c r="F24" s="96">
        <f t="shared" ref="F24:P24" si="7">SUM(F25:F26)</f>
        <v>0</v>
      </c>
      <c r="G24" s="22">
        <f>SUM(G25:G26)</f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  <c r="K24" s="22">
        <f t="shared" si="7"/>
        <v>0</v>
      </c>
      <c r="L24" s="22">
        <f t="shared" si="7"/>
        <v>0</v>
      </c>
      <c r="M24" s="22">
        <f t="shared" si="7"/>
        <v>0</v>
      </c>
      <c r="N24" s="22">
        <f t="shared" si="7"/>
        <v>0</v>
      </c>
      <c r="O24" s="22">
        <f t="shared" si="7"/>
        <v>0</v>
      </c>
      <c r="P24" s="22">
        <f t="shared" si="7"/>
        <v>0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</row>
    <row r="25" spans="1:214" s="23" customFormat="1" ht="18.75" customHeight="1">
      <c r="A25" s="19" t="s">
        <v>27</v>
      </c>
      <c r="B25" s="216" t="s">
        <v>12</v>
      </c>
      <c r="C25" s="217"/>
      <c r="D25" s="217"/>
      <c r="E25" s="218"/>
      <c r="F25" s="96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</row>
    <row r="26" spans="1:214" s="23" customFormat="1" ht="18.75" customHeight="1">
      <c r="A26" s="19" t="s">
        <v>28</v>
      </c>
      <c r="B26" s="216" t="s">
        <v>14</v>
      </c>
      <c r="C26" s="217"/>
      <c r="D26" s="217"/>
      <c r="E26" s="218"/>
      <c r="F26" s="96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</row>
    <row r="27" spans="1:214" s="23" customFormat="1" ht="28.5" customHeight="1">
      <c r="A27" s="19" t="s">
        <v>29</v>
      </c>
      <c r="B27" s="216" t="s">
        <v>30</v>
      </c>
      <c r="C27" s="217"/>
      <c r="D27" s="217"/>
      <c r="E27" s="218"/>
      <c r="F27" s="22">
        <f>SUM(F28,F33)</f>
        <v>100136601.22</v>
      </c>
      <c r="G27" s="22">
        <f t="shared" ref="G27:P27" si="8">SUM(G28,G33)</f>
        <v>15295299</v>
      </c>
      <c r="H27" s="22">
        <f t="shared" si="8"/>
        <v>13743758</v>
      </c>
      <c r="I27" s="22">
        <f t="shared" si="8"/>
        <v>12748941</v>
      </c>
      <c r="J27" s="22">
        <f t="shared" si="8"/>
        <v>13191023</v>
      </c>
      <c r="K27" s="22">
        <f t="shared" si="8"/>
        <v>11460000</v>
      </c>
      <c r="L27" s="22">
        <f t="shared" si="8"/>
        <v>10030000</v>
      </c>
      <c r="M27" s="22">
        <f t="shared" si="8"/>
        <v>3500000</v>
      </c>
      <c r="N27" s="22">
        <f t="shared" si="8"/>
        <v>1050000</v>
      </c>
      <c r="O27" s="22">
        <f t="shared" si="8"/>
        <v>700000</v>
      </c>
      <c r="P27" s="22">
        <f t="shared" si="8"/>
        <v>81719021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</row>
    <row r="28" spans="1:214" s="23" customFormat="1" ht="18.75" customHeight="1">
      <c r="A28" s="19" t="s">
        <v>31</v>
      </c>
      <c r="B28" s="216" t="s">
        <v>12</v>
      </c>
      <c r="C28" s="217"/>
      <c r="D28" s="217"/>
      <c r="E28" s="218"/>
      <c r="F28" s="22">
        <f>SUM(F29:F32)</f>
        <v>4808726</v>
      </c>
      <c r="G28" s="22">
        <f t="shared" ref="G28:P28" si="9">SUM(G29:G32)</f>
        <v>531148</v>
      </c>
      <c r="H28" s="22">
        <f t="shared" si="9"/>
        <v>1448937</v>
      </c>
      <c r="I28" s="22">
        <f t="shared" si="9"/>
        <v>1068941</v>
      </c>
      <c r="J28" s="22">
        <f t="shared" si="9"/>
        <v>903540</v>
      </c>
      <c r="K28" s="22">
        <f t="shared" si="9"/>
        <v>0</v>
      </c>
      <c r="L28" s="22">
        <f t="shared" si="9"/>
        <v>0</v>
      </c>
      <c r="M28" s="22">
        <f t="shared" si="9"/>
        <v>0</v>
      </c>
      <c r="N28" s="22">
        <f t="shared" si="9"/>
        <v>0</v>
      </c>
      <c r="O28" s="22">
        <f t="shared" si="9"/>
        <v>0</v>
      </c>
      <c r="P28" s="22">
        <f t="shared" si="9"/>
        <v>3952566</v>
      </c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</row>
    <row r="29" spans="1:214" s="36" customFormat="1" ht="36" customHeight="1">
      <c r="A29" s="26" t="s">
        <v>32</v>
      </c>
      <c r="B29" s="24" t="s">
        <v>33</v>
      </c>
      <c r="C29" s="25" t="s">
        <v>24</v>
      </c>
      <c r="D29" s="26">
        <v>2017</v>
      </c>
      <c r="E29" s="26">
        <v>2022</v>
      </c>
      <c r="F29" s="28">
        <f>240000+5000+100000+105000+110000+50000+52500+55400</f>
        <v>717900</v>
      </c>
      <c r="G29" s="28">
        <f>100000+50000</f>
        <v>150000</v>
      </c>
      <c r="H29" s="28">
        <f>105000+52500</f>
        <v>157500</v>
      </c>
      <c r="I29" s="28">
        <f>110000+55400</f>
        <v>165400</v>
      </c>
      <c r="J29" s="28"/>
      <c r="K29" s="28"/>
      <c r="L29" s="28"/>
      <c r="M29" s="28"/>
      <c r="N29" s="28"/>
      <c r="O29" s="28"/>
      <c r="P29" s="27">
        <f>SUM(G29:N29)</f>
        <v>472900</v>
      </c>
    </row>
    <row r="30" spans="1:214" s="30" customFormat="1" ht="52.5" customHeight="1">
      <c r="A30" s="26" t="s">
        <v>34</v>
      </c>
      <c r="B30" s="24" t="s">
        <v>35</v>
      </c>
      <c r="C30" s="25" t="s">
        <v>36</v>
      </c>
      <c r="D30" s="26">
        <v>2017</v>
      </c>
      <c r="E30" s="26">
        <v>2021</v>
      </c>
      <c r="F30" s="28">
        <v>1359960</v>
      </c>
      <c r="G30" s="35">
        <v>374400</v>
      </c>
      <c r="H30" s="35">
        <v>374400</v>
      </c>
      <c r="I30" s="35"/>
      <c r="J30" s="35"/>
      <c r="K30" s="35"/>
      <c r="L30" s="35"/>
      <c r="M30" s="35"/>
      <c r="N30" s="35"/>
      <c r="O30" s="35"/>
      <c r="P30" s="29">
        <f>SUM(G30:N30)</f>
        <v>748800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</row>
    <row r="31" spans="1:214" s="36" customFormat="1" ht="70.5" customHeight="1">
      <c r="A31" s="26" t="s">
        <v>123</v>
      </c>
      <c r="B31" s="24" t="s">
        <v>124</v>
      </c>
      <c r="C31" s="25" t="s">
        <v>17</v>
      </c>
      <c r="D31" s="26">
        <v>2019</v>
      </c>
      <c r="E31" s="26">
        <v>2021</v>
      </c>
      <c r="F31" s="28">
        <v>20244</v>
      </c>
      <c r="G31" s="28">
        <v>6748</v>
      </c>
      <c r="H31" s="28">
        <f>6748+6748</f>
        <v>13496</v>
      </c>
      <c r="I31" s="28"/>
      <c r="J31" s="28"/>
      <c r="K31" s="28"/>
      <c r="L31" s="28"/>
      <c r="M31" s="28"/>
      <c r="N31" s="28"/>
      <c r="O31" s="28"/>
      <c r="P31" s="27">
        <f>SUM(G31:N31)</f>
        <v>20244</v>
      </c>
    </row>
    <row r="32" spans="1:214" s="36" customFormat="1" ht="70.5" customHeight="1">
      <c r="A32" s="26" t="s">
        <v>346</v>
      </c>
      <c r="B32" s="24" t="s">
        <v>347</v>
      </c>
      <c r="C32" s="25" t="s">
        <v>17</v>
      </c>
      <c r="D32" s="26">
        <v>2021</v>
      </c>
      <c r="E32" s="26">
        <v>2023</v>
      </c>
      <c r="F32" s="28">
        <v>2710622</v>
      </c>
      <c r="G32" s="28">
        <v>0</v>
      </c>
      <c r="H32" s="28">
        <v>903541</v>
      </c>
      <c r="I32" s="28">
        <v>903541</v>
      </c>
      <c r="J32" s="28">
        <v>903540</v>
      </c>
      <c r="K32" s="28"/>
      <c r="L32" s="28"/>
      <c r="M32" s="28"/>
      <c r="N32" s="28"/>
      <c r="O32" s="28"/>
      <c r="P32" s="27">
        <f>SUM(G32:N32)</f>
        <v>2710622</v>
      </c>
    </row>
    <row r="33" spans="1:214" s="23" customFormat="1" ht="27" customHeight="1">
      <c r="A33" s="19" t="s">
        <v>37</v>
      </c>
      <c r="B33" s="216" t="s">
        <v>14</v>
      </c>
      <c r="C33" s="217"/>
      <c r="D33" s="217"/>
      <c r="E33" s="218"/>
      <c r="F33" s="22">
        <f>SUM(F34:F88)</f>
        <v>95327875.219999999</v>
      </c>
      <c r="G33" s="22">
        <f t="shared" ref="G33:J33" si="10">SUM(G34:G88)</f>
        <v>14764151</v>
      </c>
      <c r="H33" s="22">
        <f t="shared" si="10"/>
        <v>12294821</v>
      </c>
      <c r="I33" s="22">
        <f t="shared" si="10"/>
        <v>11680000</v>
      </c>
      <c r="J33" s="22">
        <f t="shared" si="10"/>
        <v>12287483</v>
      </c>
      <c r="K33" s="22">
        <f t="shared" ref="K33" si="11">SUM(K34:K88)</f>
        <v>11460000</v>
      </c>
      <c r="L33" s="22">
        <f t="shared" ref="L33" si="12">SUM(L34:L88)</f>
        <v>10030000</v>
      </c>
      <c r="M33" s="22">
        <f t="shared" ref="M33" si="13">SUM(M34:M88)</f>
        <v>3500000</v>
      </c>
      <c r="N33" s="22">
        <f t="shared" ref="N33" si="14">SUM(N34:N88)</f>
        <v>1050000</v>
      </c>
      <c r="O33" s="22">
        <f t="shared" ref="O33" si="15">SUM(O34:O88)</f>
        <v>700000</v>
      </c>
      <c r="P33" s="22">
        <f t="shared" ref="P33" si="16">SUM(P34:P88)</f>
        <v>77766455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</row>
    <row r="34" spans="1:214" s="30" customFormat="1" ht="35.25" customHeight="1">
      <c r="A34" s="26" t="s">
        <v>38</v>
      </c>
      <c r="B34" s="24" t="s">
        <v>39</v>
      </c>
      <c r="C34" s="25" t="s">
        <v>40</v>
      </c>
      <c r="D34" s="26">
        <v>2014</v>
      </c>
      <c r="E34" s="26">
        <v>2022</v>
      </c>
      <c r="F34" s="28">
        <f>744637+100000</f>
        <v>844637</v>
      </c>
      <c r="G34" s="35">
        <v>0</v>
      </c>
      <c r="H34" s="28">
        <v>100000</v>
      </c>
      <c r="I34" s="28">
        <v>150000</v>
      </c>
      <c r="J34" s="35"/>
      <c r="K34" s="35"/>
      <c r="L34" s="35"/>
      <c r="M34" s="35"/>
      <c r="N34" s="35"/>
      <c r="O34" s="35"/>
      <c r="P34" s="29">
        <f>SUM(G34:O34)</f>
        <v>250000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</row>
    <row r="35" spans="1:214" s="36" customFormat="1" ht="45.75" customHeight="1">
      <c r="A35" s="26" t="s">
        <v>41</v>
      </c>
      <c r="B35" s="24" t="s">
        <v>97</v>
      </c>
      <c r="C35" s="25" t="s">
        <v>40</v>
      </c>
      <c r="D35" s="26">
        <v>2015</v>
      </c>
      <c r="E35" s="26">
        <v>2022</v>
      </c>
      <c r="F35" s="28">
        <v>1349861</v>
      </c>
      <c r="G35" s="28">
        <v>100000</v>
      </c>
      <c r="H35" s="28">
        <v>200000</v>
      </c>
      <c r="I35" s="28">
        <v>100000</v>
      </c>
      <c r="J35" s="28"/>
      <c r="K35" s="28"/>
      <c r="L35" s="28"/>
      <c r="M35" s="28"/>
      <c r="N35" s="28"/>
      <c r="O35" s="28"/>
      <c r="P35" s="27">
        <f t="shared" ref="P35:P88" si="17">SUM(G35:O35)</f>
        <v>400000</v>
      </c>
    </row>
    <row r="36" spans="1:214" s="36" customFormat="1" ht="65.25" customHeight="1">
      <c r="A36" s="26" t="s">
        <v>42</v>
      </c>
      <c r="B36" s="86" t="s">
        <v>43</v>
      </c>
      <c r="C36" s="87" t="s">
        <v>24</v>
      </c>
      <c r="D36" s="68">
        <v>2011</v>
      </c>
      <c r="E36" s="68">
        <v>2022</v>
      </c>
      <c r="F36" s="89">
        <v>2979176</v>
      </c>
      <c r="G36" s="89">
        <f>500000+272000-272000-310000-5285</f>
        <v>184715</v>
      </c>
      <c r="H36" s="89">
        <f>1000000+450000+5285</f>
        <v>1455285</v>
      </c>
      <c r="I36" s="89">
        <f>1000000-140000</f>
        <v>860000</v>
      </c>
      <c r="J36" s="89"/>
      <c r="K36" s="89"/>
      <c r="L36" s="89"/>
      <c r="M36" s="89"/>
      <c r="N36" s="89"/>
      <c r="O36" s="89"/>
      <c r="P36" s="88">
        <f t="shared" si="17"/>
        <v>2500000</v>
      </c>
    </row>
    <row r="37" spans="1:214" s="103" customFormat="1" ht="46.5" customHeight="1">
      <c r="A37" s="133" t="s">
        <v>343</v>
      </c>
      <c r="B37" s="135" t="s">
        <v>48</v>
      </c>
      <c r="C37" s="136" t="s">
        <v>40</v>
      </c>
      <c r="D37" s="134">
        <v>2017</v>
      </c>
      <c r="E37" s="134">
        <v>2022</v>
      </c>
      <c r="F37" s="137">
        <f>248413</f>
        <v>248413</v>
      </c>
      <c r="G37" s="137">
        <v>0</v>
      </c>
      <c r="H37" s="137">
        <v>220000</v>
      </c>
      <c r="I37" s="137">
        <v>0</v>
      </c>
      <c r="J37" s="137"/>
      <c r="K37" s="137"/>
      <c r="L37" s="137"/>
      <c r="M37" s="137"/>
      <c r="N37" s="137"/>
      <c r="O37" s="137"/>
      <c r="P37" s="177">
        <f t="shared" si="17"/>
        <v>220000</v>
      </c>
    </row>
    <row r="38" spans="1:214" s="52" customFormat="1" ht="33.75" customHeight="1">
      <c r="A38" s="26" t="s">
        <v>44</v>
      </c>
      <c r="B38" s="24" t="s">
        <v>51</v>
      </c>
      <c r="C38" s="25" t="s">
        <v>40</v>
      </c>
      <c r="D38" s="26">
        <v>2017</v>
      </c>
      <c r="E38" s="26">
        <v>2023</v>
      </c>
      <c r="F38" s="28">
        <f>465460</f>
        <v>465460</v>
      </c>
      <c r="G38" s="28">
        <f>100000+100000</f>
        <v>200000</v>
      </c>
      <c r="H38" s="28">
        <v>0</v>
      </c>
      <c r="I38" s="28">
        <v>150000</v>
      </c>
      <c r="J38" s="28"/>
      <c r="K38" s="28"/>
      <c r="L38" s="28"/>
      <c r="M38" s="28"/>
      <c r="N38" s="28"/>
      <c r="O38" s="28"/>
      <c r="P38" s="27">
        <f t="shared" si="17"/>
        <v>350000</v>
      </c>
    </row>
    <row r="39" spans="1:214" s="52" customFormat="1" ht="36.75" customHeight="1">
      <c r="A39" s="26" t="s">
        <v>45</v>
      </c>
      <c r="B39" s="24" t="s">
        <v>54</v>
      </c>
      <c r="C39" s="25" t="s">
        <v>40</v>
      </c>
      <c r="D39" s="26">
        <v>2017</v>
      </c>
      <c r="E39" s="26">
        <v>2022</v>
      </c>
      <c r="F39" s="28">
        <f>800000+100000</f>
        <v>900000</v>
      </c>
      <c r="G39" s="28">
        <v>100000</v>
      </c>
      <c r="H39" s="28">
        <v>150000</v>
      </c>
      <c r="I39" s="28">
        <v>150000</v>
      </c>
      <c r="J39" s="28"/>
      <c r="K39" s="28"/>
      <c r="L39" s="28"/>
      <c r="M39" s="28"/>
      <c r="N39" s="28"/>
      <c r="O39" s="28"/>
      <c r="P39" s="27">
        <f t="shared" si="17"/>
        <v>400000</v>
      </c>
    </row>
    <row r="40" spans="1:214" s="52" customFormat="1" ht="39.75" customHeight="1">
      <c r="A40" s="26" t="s">
        <v>46</v>
      </c>
      <c r="B40" s="24" t="s">
        <v>58</v>
      </c>
      <c r="C40" s="25" t="s">
        <v>40</v>
      </c>
      <c r="D40" s="26">
        <v>2017</v>
      </c>
      <c r="E40" s="26">
        <v>2021</v>
      </c>
      <c r="F40" s="28">
        <v>500000</v>
      </c>
      <c r="G40" s="28">
        <v>0</v>
      </c>
      <c r="H40" s="28">
        <v>250000</v>
      </c>
      <c r="I40" s="28"/>
      <c r="J40" s="28"/>
      <c r="K40" s="28"/>
      <c r="L40" s="28"/>
      <c r="M40" s="28"/>
      <c r="N40" s="28"/>
      <c r="O40" s="28"/>
      <c r="P40" s="27">
        <f t="shared" si="17"/>
        <v>250000</v>
      </c>
    </row>
    <row r="41" spans="1:214" s="52" customFormat="1" ht="48" customHeight="1">
      <c r="A41" s="26" t="s">
        <v>47</v>
      </c>
      <c r="B41" s="24" t="s">
        <v>60</v>
      </c>
      <c r="C41" s="25" t="s">
        <v>40</v>
      </c>
      <c r="D41" s="26">
        <v>2017</v>
      </c>
      <c r="E41" s="26">
        <v>2022</v>
      </c>
      <c r="F41" s="28">
        <v>639987</v>
      </c>
      <c r="G41" s="28">
        <v>0</v>
      </c>
      <c r="H41" s="28">
        <v>110000</v>
      </c>
      <c r="I41" s="28">
        <v>190000</v>
      </c>
      <c r="J41" s="28"/>
      <c r="K41" s="28"/>
      <c r="L41" s="28"/>
      <c r="M41" s="28"/>
      <c r="N41" s="28"/>
      <c r="O41" s="28"/>
      <c r="P41" s="27">
        <f t="shared" si="17"/>
        <v>300000</v>
      </c>
    </row>
    <row r="42" spans="1:214" s="52" customFormat="1" ht="33" customHeight="1">
      <c r="A42" s="26" t="s">
        <v>49</v>
      </c>
      <c r="B42" s="24" t="s">
        <v>63</v>
      </c>
      <c r="C42" s="25" t="s">
        <v>40</v>
      </c>
      <c r="D42" s="26">
        <v>2017</v>
      </c>
      <c r="E42" s="26">
        <v>2027</v>
      </c>
      <c r="F42" s="28">
        <v>700000</v>
      </c>
      <c r="G42" s="28">
        <v>100000</v>
      </c>
      <c r="H42" s="28">
        <v>0</v>
      </c>
      <c r="I42" s="28">
        <v>100000</v>
      </c>
      <c r="J42" s="28">
        <v>150000</v>
      </c>
      <c r="K42" s="28">
        <v>0</v>
      </c>
      <c r="L42" s="28">
        <v>0</v>
      </c>
      <c r="M42" s="28">
        <v>0</v>
      </c>
      <c r="N42" s="28">
        <v>150000</v>
      </c>
      <c r="O42" s="28"/>
      <c r="P42" s="27">
        <f t="shared" si="17"/>
        <v>500000</v>
      </c>
    </row>
    <row r="43" spans="1:214" s="52" customFormat="1" ht="33" customHeight="1">
      <c r="A43" s="26" t="s">
        <v>50</v>
      </c>
      <c r="B43" s="90" t="s">
        <v>67</v>
      </c>
      <c r="C43" s="25" t="s">
        <v>40</v>
      </c>
      <c r="D43" s="26">
        <v>2017</v>
      </c>
      <c r="E43" s="26">
        <v>2022</v>
      </c>
      <c r="F43" s="28">
        <f>1025000+100000</f>
        <v>1125000</v>
      </c>
      <c r="G43" s="28">
        <v>100000</v>
      </c>
      <c r="H43" s="28">
        <v>250000</v>
      </c>
      <c r="I43" s="28"/>
      <c r="J43" s="28"/>
      <c r="K43" s="28"/>
      <c r="L43" s="28"/>
      <c r="M43" s="28"/>
      <c r="N43" s="28"/>
      <c r="O43" s="28"/>
      <c r="P43" s="27">
        <f t="shared" si="17"/>
        <v>350000</v>
      </c>
    </row>
    <row r="44" spans="1:214" s="52" customFormat="1" ht="32.25" customHeight="1">
      <c r="A44" s="26" t="s">
        <v>52</v>
      </c>
      <c r="B44" s="38" t="s">
        <v>72</v>
      </c>
      <c r="C44" s="39" t="s">
        <v>40</v>
      </c>
      <c r="D44" s="40">
        <v>2017</v>
      </c>
      <c r="E44" s="26">
        <v>2023</v>
      </c>
      <c r="F44" s="41">
        <v>845000</v>
      </c>
      <c r="G44" s="41">
        <v>0</v>
      </c>
      <c r="H44" s="41">
        <v>0</v>
      </c>
      <c r="I44" s="41">
        <v>250000</v>
      </c>
      <c r="J44" s="41">
        <v>300000</v>
      </c>
      <c r="K44" s="41"/>
      <c r="L44" s="41"/>
      <c r="M44" s="41"/>
      <c r="N44" s="41"/>
      <c r="O44" s="41"/>
      <c r="P44" s="27">
        <f t="shared" si="17"/>
        <v>550000</v>
      </c>
    </row>
    <row r="45" spans="1:214" s="42" customFormat="1" ht="37.5" customHeight="1">
      <c r="A45" s="26" t="s">
        <v>53</v>
      </c>
      <c r="B45" s="165" t="s">
        <v>352</v>
      </c>
      <c r="C45" s="166" t="s">
        <v>74</v>
      </c>
      <c r="D45" s="26">
        <v>2018</v>
      </c>
      <c r="E45" s="26">
        <v>2024</v>
      </c>
      <c r="F45" s="28">
        <v>9484332</v>
      </c>
      <c r="G45" s="28">
        <v>0</v>
      </c>
      <c r="H45" s="28">
        <f>3500000+500000-100000-3900000</f>
        <v>0</v>
      </c>
      <c r="I45" s="28">
        <v>3900000</v>
      </c>
      <c r="J45" s="28">
        <v>3700000</v>
      </c>
      <c r="K45" s="28">
        <v>1800000</v>
      </c>
      <c r="L45" s="28"/>
      <c r="M45" s="28"/>
      <c r="N45" s="28"/>
      <c r="O45" s="28"/>
      <c r="P45" s="27">
        <f t="shared" si="17"/>
        <v>9400000</v>
      </c>
    </row>
    <row r="46" spans="1:214" s="42" customFormat="1" ht="36.75" customHeight="1">
      <c r="A46" s="26" t="s">
        <v>55</v>
      </c>
      <c r="B46" s="43" t="s">
        <v>82</v>
      </c>
      <c r="C46" s="25" t="s">
        <v>95</v>
      </c>
      <c r="D46" s="26">
        <v>2018</v>
      </c>
      <c r="E46" s="26">
        <v>2020</v>
      </c>
      <c r="F46" s="28">
        <v>3676150</v>
      </c>
      <c r="G46" s="28">
        <f>700000+910000+34000</f>
        <v>1644000</v>
      </c>
      <c r="H46" s="28"/>
      <c r="I46" s="28"/>
      <c r="J46" s="28"/>
      <c r="K46" s="28"/>
      <c r="L46" s="28"/>
      <c r="M46" s="28"/>
      <c r="N46" s="28"/>
      <c r="O46" s="28"/>
      <c r="P46" s="27">
        <f t="shared" si="17"/>
        <v>1644000</v>
      </c>
    </row>
    <row r="47" spans="1:214" s="52" customFormat="1" ht="36.75" customHeight="1">
      <c r="A47" s="26" t="s">
        <v>56</v>
      </c>
      <c r="B47" s="110" t="s">
        <v>78</v>
      </c>
      <c r="C47" s="111" t="s">
        <v>40</v>
      </c>
      <c r="D47" s="112">
        <v>2017</v>
      </c>
      <c r="E47" s="112">
        <v>2023</v>
      </c>
      <c r="F47" s="113">
        <v>850000</v>
      </c>
      <c r="G47" s="113">
        <v>0</v>
      </c>
      <c r="H47" s="113">
        <v>100000</v>
      </c>
      <c r="I47" s="113">
        <v>300000</v>
      </c>
      <c r="J47" s="113">
        <v>150000</v>
      </c>
      <c r="K47" s="113"/>
      <c r="L47" s="113"/>
      <c r="M47" s="113"/>
      <c r="N47" s="113"/>
      <c r="O47" s="113"/>
      <c r="P47" s="27">
        <f t="shared" si="17"/>
        <v>550000</v>
      </c>
    </row>
    <row r="48" spans="1:214" s="52" customFormat="1" ht="37.9" customHeight="1">
      <c r="A48" s="26" t="s">
        <v>57</v>
      </c>
      <c r="B48" s="44" t="s">
        <v>80</v>
      </c>
      <c r="C48" s="45" t="s">
        <v>40</v>
      </c>
      <c r="D48" s="26">
        <v>2017</v>
      </c>
      <c r="E48" s="26">
        <v>2021</v>
      </c>
      <c r="F48" s="97">
        <v>417266</v>
      </c>
      <c r="G48" s="46">
        <v>0</v>
      </c>
      <c r="H48" s="46">
        <v>60000</v>
      </c>
      <c r="I48" s="46"/>
      <c r="J48" s="46"/>
      <c r="K48" s="46"/>
      <c r="L48" s="46"/>
      <c r="M48" s="46"/>
      <c r="N48" s="46"/>
      <c r="O48" s="46"/>
      <c r="P48" s="27">
        <f t="shared" si="17"/>
        <v>60000</v>
      </c>
    </row>
    <row r="49" spans="1:17" s="52" customFormat="1" ht="37.9" customHeight="1">
      <c r="A49" s="26" t="s">
        <v>59</v>
      </c>
      <c r="B49" s="104" t="s">
        <v>81</v>
      </c>
      <c r="C49" s="105" t="s">
        <v>40</v>
      </c>
      <c r="D49" s="40">
        <v>2017</v>
      </c>
      <c r="E49" s="40">
        <v>2022</v>
      </c>
      <c r="F49" s="106">
        <v>329983</v>
      </c>
      <c r="G49" s="106">
        <v>0</v>
      </c>
      <c r="H49" s="106">
        <v>150000</v>
      </c>
      <c r="I49" s="106">
        <v>0</v>
      </c>
      <c r="J49" s="106"/>
      <c r="K49" s="106"/>
      <c r="L49" s="106"/>
      <c r="M49" s="106"/>
      <c r="N49" s="106"/>
      <c r="O49" s="106"/>
      <c r="P49" s="27">
        <f t="shared" si="17"/>
        <v>150000</v>
      </c>
    </row>
    <row r="50" spans="1:17" s="21" customFormat="1" ht="34.15" customHeight="1">
      <c r="A50" s="188" t="s">
        <v>61</v>
      </c>
      <c r="B50" s="191" t="s">
        <v>83</v>
      </c>
      <c r="C50" s="192" t="s">
        <v>40</v>
      </c>
      <c r="D50" s="188">
        <v>2018</v>
      </c>
      <c r="E50" s="189">
        <v>2021</v>
      </c>
      <c r="F50" s="193">
        <f>500000+45534</f>
        <v>545534</v>
      </c>
      <c r="G50" s="193">
        <v>45534</v>
      </c>
      <c r="H50" s="193">
        <v>200000</v>
      </c>
      <c r="I50" s="193"/>
      <c r="J50" s="193"/>
      <c r="K50" s="193"/>
      <c r="L50" s="193"/>
      <c r="M50" s="193"/>
      <c r="N50" s="193"/>
      <c r="O50" s="193"/>
      <c r="P50" s="190">
        <f t="shared" si="17"/>
        <v>245534</v>
      </c>
    </row>
    <row r="51" spans="1:17" s="52" customFormat="1" ht="32.450000000000003" customHeight="1">
      <c r="A51" s="26" t="s">
        <v>62</v>
      </c>
      <c r="B51" s="43" t="s">
        <v>84</v>
      </c>
      <c r="C51" s="25" t="s">
        <v>40</v>
      </c>
      <c r="D51" s="26">
        <v>2018</v>
      </c>
      <c r="E51" s="40">
        <v>2023</v>
      </c>
      <c r="F51" s="47">
        <v>360433</v>
      </c>
      <c r="G51" s="47">
        <v>100000</v>
      </c>
      <c r="H51" s="47">
        <v>0</v>
      </c>
      <c r="I51" s="47">
        <v>100000</v>
      </c>
      <c r="J51" s="47">
        <v>100000</v>
      </c>
      <c r="K51" s="47"/>
      <c r="L51" s="47"/>
      <c r="M51" s="47"/>
      <c r="N51" s="47"/>
      <c r="O51" s="47"/>
      <c r="P51" s="27">
        <f t="shared" si="17"/>
        <v>300000</v>
      </c>
      <c r="Q51" s="102"/>
    </row>
    <row r="52" spans="1:17" s="52" customFormat="1" ht="36" customHeight="1">
      <c r="A52" s="26" t="s">
        <v>64</v>
      </c>
      <c r="B52" s="48" t="s">
        <v>85</v>
      </c>
      <c r="C52" s="25" t="s">
        <v>40</v>
      </c>
      <c r="D52" s="26">
        <v>2018</v>
      </c>
      <c r="E52" s="26">
        <v>2027</v>
      </c>
      <c r="F52" s="47">
        <f>2189458+200000</f>
        <v>2389458</v>
      </c>
      <c r="G52" s="47">
        <v>200000</v>
      </c>
      <c r="H52" s="47">
        <v>200000</v>
      </c>
      <c r="I52" s="47">
        <v>200000</v>
      </c>
      <c r="J52" s="47">
        <v>200000</v>
      </c>
      <c r="K52" s="47">
        <v>250000</v>
      </c>
      <c r="L52" s="47">
        <v>250000</v>
      </c>
      <c r="M52" s="47">
        <v>200000</v>
      </c>
      <c r="N52" s="47">
        <v>200000</v>
      </c>
      <c r="O52" s="47"/>
      <c r="P52" s="27">
        <f>SUM(G52:O52)</f>
        <v>1700000</v>
      </c>
    </row>
    <row r="53" spans="1:17" s="52" customFormat="1" ht="39" customHeight="1">
      <c r="A53" s="26" t="s">
        <v>65</v>
      </c>
      <c r="B53" s="99" t="s">
        <v>86</v>
      </c>
      <c r="C53" s="39" t="s">
        <v>40</v>
      </c>
      <c r="D53" s="40">
        <v>2018</v>
      </c>
      <c r="E53" s="40">
        <v>2028</v>
      </c>
      <c r="F53" s="100">
        <f>640000+1700000+200000</f>
        <v>2540000</v>
      </c>
      <c r="G53" s="100">
        <v>200000</v>
      </c>
      <c r="H53" s="100">
        <v>200000</v>
      </c>
      <c r="I53" s="100">
        <v>150000</v>
      </c>
      <c r="J53" s="100">
        <v>200000</v>
      </c>
      <c r="K53" s="100">
        <v>250000</v>
      </c>
      <c r="L53" s="100">
        <v>250000</v>
      </c>
      <c r="M53" s="100">
        <v>250000</v>
      </c>
      <c r="N53" s="100">
        <v>200000</v>
      </c>
      <c r="O53" s="100">
        <v>200000</v>
      </c>
      <c r="P53" s="27">
        <f>SUM(G53:O53)</f>
        <v>1900000</v>
      </c>
    </row>
    <row r="54" spans="1:17" s="52" customFormat="1" ht="42" customHeight="1">
      <c r="A54" s="26" t="s">
        <v>66</v>
      </c>
      <c r="B54" s="93" t="s">
        <v>120</v>
      </c>
      <c r="C54" s="49" t="s">
        <v>40</v>
      </c>
      <c r="D54" s="50">
        <v>2018</v>
      </c>
      <c r="E54" s="50">
        <v>2020</v>
      </c>
      <c r="F54" s="59">
        <f>1110000+2844000+615000+50000</f>
        <v>4619000</v>
      </c>
      <c r="G54" s="51">
        <f>550000+615000+50000+1924000</f>
        <v>3139000</v>
      </c>
      <c r="H54" s="51"/>
      <c r="I54" s="51"/>
      <c r="J54" s="51"/>
      <c r="K54" s="51"/>
      <c r="L54" s="51"/>
      <c r="M54" s="51"/>
      <c r="N54" s="51"/>
      <c r="O54" s="51"/>
      <c r="P54" s="27">
        <f t="shared" si="17"/>
        <v>3139000</v>
      </c>
    </row>
    <row r="55" spans="1:17" s="52" customFormat="1" ht="37.9" customHeight="1">
      <c r="A55" s="26" t="s">
        <v>68</v>
      </c>
      <c r="B55" s="53" t="s">
        <v>87</v>
      </c>
      <c r="C55" s="54" t="s">
        <v>40</v>
      </c>
      <c r="D55" s="55">
        <v>2018</v>
      </c>
      <c r="E55" s="55">
        <v>2021</v>
      </c>
      <c r="F55" s="56">
        <v>200000</v>
      </c>
      <c r="G55" s="56">
        <v>0</v>
      </c>
      <c r="H55" s="56">
        <v>100000</v>
      </c>
      <c r="I55" s="56"/>
      <c r="J55" s="56"/>
      <c r="K55" s="56"/>
      <c r="L55" s="56"/>
      <c r="M55" s="56"/>
      <c r="N55" s="56"/>
      <c r="O55" s="56"/>
      <c r="P55" s="27">
        <f t="shared" si="17"/>
        <v>100000</v>
      </c>
    </row>
    <row r="56" spans="1:17" s="52" customFormat="1" ht="34.5" customHeight="1">
      <c r="A56" s="26" t="s">
        <v>69</v>
      </c>
      <c r="B56" s="43" t="s">
        <v>88</v>
      </c>
      <c r="C56" s="49" t="s">
        <v>40</v>
      </c>
      <c r="D56" s="50">
        <v>2018</v>
      </c>
      <c r="E56" s="50">
        <v>2021</v>
      </c>
      <c r="F56" s="51">
        <v>655931</v>
      </c>
      <c r="G56" s="51">
        <v>0</v>
      </c>
      <c r="H56" s="51">
        <v>300000</v>
      </c>
      <c r="I56" s="51"/>
      <c r="J56" s="51"/>
      <c r="K56" s="51"/>
      <c r="L56" s="51"/>
      <c r="M56" s="51"/>
      <c r="N56" s="51"/>
      <c r="O56" s="51"/>
      <c r="P56" s="27">
        <f t="shared" si="17"/>
        <v>300000</v>
      </c>
    </row>
    <row r="57" spans="1:17" s="52" customFormat="1" ht="39" customHeight="1">
      <c r="A57" s="26" t="s">
        <v>70</v>
      </c>
      <c r="B57" s="43" t="s">
        <v>89</v>
      </c>
      <c r="C57" s="49" t="s">
        <v>40</v>
      </c>
      <c r="D57" s="50">
        <v>2018</v>
      </c>
      <c r="E57" s="50">
        <v>2021</v>
      </c>
      <c r="F57" s="51">
        <f>450000+100000</f>
        <v>550000</v>
      </c>
      <c r="G57" s="51">
        <v>100000</v>
      </c>
      <c r="H57" s="51">
        <v>200000</v>
      </c>
      <c r="I57" s="51"/>
      <c r="J57" s="51"/>
      <c r="K57" s="51"/>
      <c r="L57" s="51"/>
      <c r="M57" s="51"/>
      <c r="N57" s="51"/>
      <c r="O57" s="51"/>
      <c r="P57" s="27">
        <f t="shared" si="17"/>
        <v>300000</v>
      </c>
    </row>
    <row r="58" spans="1:17" s="52" customFormat="1" ht="38.25" customHeight="1">
      <c r="A58" s="26" t="s">
        <v>71</v>
      </c>
      <c r="B58" s="57" t="s">
        <v>96</v>
      </c>
      <c r="C58" s="58" t="s">
        <v>40</v>
      </c>
      <c r="D58" s="50">
        <v>2018</v>
      </c>
      <c r="E58" s="50">
        <v>2021</v>
      </c>
      <c r="F58" s="51">
        <v>449409</v>
      </c>
      <c r="G58" s="51">
        <v>0</v>
      </c>
      <c r="H58" s="51">
        <v>160000</v>
      </c>
      <c r="I58" s="51"/>
      <c r="J58" s="51"/>
      <c r="K58" s="51"/>
      <c r="L58" s="51"/>
      <c r="M58" s="51"/>
      <c r="N58" s="51"/>
      <c r="O58" s="51"/>
      <c r="P58" s="27">
        <f t="shared" si="17"/>
        <v>160000</v>
      </c>
    </row>
    <row r="59" spans="1:17" s="52" customFormat="1" ht="36" customHeight="1">
      <c r="A59" s="26" t="s">
        <v>73</v>
      </c>
      <c r="B59" s="48" t="s">
        <v>90</v>
      </c>
      <c r="C59" s="49" t="s">
        <v>40</v>
      </c>
      <c r="D59" s="50">
        <v>2018</v>
      </c>
      <c r="E59" s="50">
        <v>2021</v>
      </c>
      <c r="F59" s="51">
        <v>220711</v>
      </c>
      <c r="G59" s="51">
        <v>0</v>
      </c>
      <c r="H59" s="51">
        <v>50000</v>
      </c>
      <c r="I59" s="51"/>
      <c r="J59" s="51"/>
      <c r="K59" s="51"/>
      <c r="L59" s="51"/>
      <c r="M59" s="51"/>
      <c r="N59" s="51"/>
      <c r="O59" s="51"/>
      <c r="P59" s="27">
        <f t="shared" si="17"/>
        <v>50000</v>
      </c>
    </row>
    <row r="60" spans="1:17" s="52" customFormat="1" ht="64.5" customHeight="1">
      <c r="A60" s="26" t="s">
        <v>75</v>
      </c>
      <c r="B60" s="167" t="s">
        <v>217</v>
      </c>
      <c r="C60" s="49" t="s">
        <v>40</v>
      </c>
      <c r="D60" s="26">
        <v>2018</v>
      </c>
      <c r="E60" s="26">
        <v>2021</v>
      </c>
      <c r="F60" s="59">
        <v>1739938</v>
      </c>
      <c r="G60" s="59">
        <v>0</v>
      </c>
      <c r="H60" s="59">
        <v>1690000</v>
      </c>
      <c r="I60" s="59"/>
      <c r="J60" s="59"/>
      <c r="K60" s="59"/>
      <c r="L60" s="59"/>
      <c r="M60" s="59"/>
      <c r="N60" s="59"/>
      <c r="O60" s="59"/>
      <c r="P60" s="27">
        <f t="shared" si="17"/>
        <v>1690000</v>
      </c>
      <c r="Q60" s="168"/>
    </row>
    <row r="61" spans="1:17" s="52" customFormat="1" ht="114" customHeight="1">
      <c r="A61" s="26" t="s">
        <v>76</v>
      </c>
      <c r="B61" s="159" t="s">
        <v>344</v>
      </c>
      <c r="C61" s="138" t="s">
        <v>24</v>
      </c>
      <c r="D61" s="26">
        <v>2020</v>
      </c>
      <c r="E61" s="26">
        <v>2022</v>
      </c>
      <c r="F61" s="98">
        <v>2500000</v>
      </c>
      <c r="G61" s="98">
        <v>500000</v>
      </c>
      <c r="H61" s="98">
        <v>1000000</v>
      </c>
      <c r="I61" s="98">
        <v>1000000</v>
      </c>
      <c r="J61" s="98"/>
      <c r="K61" s="98"/>
      <c r="L61" s="98"/>
      <c r="M61" s="98"/>
      <c r="N61" s="98"/>
      <c r="O61" s="98"/>
      <c r="P61" s="27">
        <f t="shared" si="17"/>
        <v>2500000</v>
      </c>
    </row>
    <row r="62" spans="1:17" s="52" customFormat="1" ht="47.25" customHeight="1">
      <c r="A62" s="26" t="s">
        <v>77</v>
      </c>
      <c r="B62" s="60" t="s">
        <v>108</v>
      </c>
      <c r="C62" s="61" t="s">
        <v>40</v>
      </c>
      <c r="D62" s="40">
        <v>2017</v>
      </c>
      <c r="E62" s="40">
        <v>2023</v>
      </c>
      <c r="F62" s="63">
        <v>647475</v>
      </c>
      <c r="G62" s="63">
        <v>0</v>
      </c>
      <c r="H62" s="63">
        <v>0</v>
      </c>
      <c r="I62" s="63">
        <v>150000</v>
      </c>
      <c r="J62" s="63">
        <v>150000</v>
      </c>
      <c r="K62" s="63"/>
      <c r="L62" s="63"/>
      <c r="M62" s="63"/>
      <c r="N62" s="63"/>
      <c r="O62" s="63"/>
      <c r="P62" s="27">
        <f t="shared" si="17"/>
        <v>300000</v>
      </c>
    </row>
    <row r="63" spans="1:17" s="52" customFormat="1" ht="50.25" customHeight="1">
      <c r="A63" s="26" t="s">
        <v>79</v>
      </c>
      <c r="B63" s="24" t="s">
        <v>113</v>
      </c>
      <c r="C63" s="61" t="s">
        <v>40</v>
      </c>
      <c r="D63" s="26">
        <v>2019</v>
      </c>
      <c r="E63" s="26">
        <v>2020</v>
      </c>
      <c r="F63" s="59">
        <f>90000-10000</f>
        <v>80000</v>
      </c>
      <c r="G63" s="59">
        <f>70000-10000</f>
        <v>60000</v>
      </c>
      <c r="H63" s="59"/>
      <c r="I63" s="59"/>
      <c r="J63" s="59"/>
      <c r="K63" s="59"/>
      <c r="L63" s="59"/>
      <c r="M63" s="59"/>
      <c r="N63" s="59"/>
      <c r="O63" s="63"/>
      <c r="P63" s="27">
        <f t="shared" si="17"/>
        <v>60000</v>
      </c>
    </row>
    <row r="64" spans="1:17" s="52" customFormat="1" ht="41.25" customHeight="1">
      <c r="A64" s="26" t="s">
        <v>91</v>
      </c>
      <c r="B64" s="90" t="s">
        <v>114</v>
      </c>
      <c r="C64" s="91" t="s">
        <v>107</v>
      </c>
      <c r="D64" s="40">
        <v>2019</v>
      </c>
      <c r="E64" s="40">
        <v>2020</v>
      </c>
      <c r="F64" s="63">
        <f>6500000+180000</f>
        <v>6680000</v>
      </c>
      <c r="G64" s="63">
        <v>2500000</v>
      </c>
      <c r="H64" s="63"/>
      <c r="I64" s="63"/>
      <c r="J64" s="63"/>
      <c r="K64" s="63"/>
      <c r="L64" s="63"/>
      <c r="M64" s="63"/>
      <c r="N64" s="63"/>
      <c r="O64" s="63"/>
      <c r="P64" s="27">
        <f t="shared" si="17"/>
        <v>2500000</v>
      </c>
    </row>
    <row r="65" spans="1:17" s="52" customFormat="1" ht="48" customHeight="1">
      <c r="A65" s="26" t="s">
        <v>92</v>
      </c>
      <c r="B65" s="62" t="s">
        <v>117</v>
      </c>
      <c r="C65" s="61" t="s">
        <v>40</v>
      </c>
      <c r="D65" s="40">
        <v>2019</v>
      </c>
      <c r="E65" s="40">
        <v>2020</v>
      </c>
      <c r="F65" s="63">
        <f>1901000+172252</f>
        <v>2073252</v>
      </c>
      <c r="G65" s="63">
        <f>1401000+172252</f>
        <v>1573252</v>
      </c>
      <c r="H65" s="63"/>
      <c r="I65" s="63"/>
      <c r="J65" s="63"/>
      <c r="K65" s="63"/>
      <c r="L65" s="63"/>
      <c r="M65" s="63"/>
      <c r="N65" s="63"/>
      <c r="O65" s="63"/>
      <c r="P65" s="27">
        <f t="shared" si="17"/>
        <v>1573252</v>
      </c>
    </row>
    <row r="66" spans="1:17" s="52" customFormat="1" ht="51.75" customHeight="1">
      <c r="A66" s="26" t="s">
        <v>93</v>
      </c>
      <c r="B66" s="92" t="s">
        <v>118</v>
      </c>
      <c r="C66" s="49" t="s">
        <v>40</v>
      </c>
      <c r="D66" s="94">
        <v>2017</v>
      </c>
      <c r="E66" s="94">
        <v>2020</v>
      </c>
      <c r="F66" s="59">
        <v>2106681</v>
      </c>
      <c r="G66" s="59">
        <f>949000+153946+850694</f>
        <v>1953640</v>
      </c>
      <c r="H66" s="59"/>
      <c r="I66" s="59"/>
      <c r="J66" s="59"/>
      <c r="K66" s="59"/>
      <c r="L66" s="59"/>
      <c r="M66" s="59"/>
      <c r="N66" s="59"/>
      <c r="O66" s="59"/>
      <c r="P66" s="27">
        <f t="shared" si="17"/>
        <v>1953640</v>
      </c>
    </row>
    <row r="67" spans="1:17" s="52" customFormat="1" ht="39" customHeight="1">
      <c r="A67" s="26" t="s">
        <v>94</v>
      </c>
      <c r="B67" s="169" t="s">
        <v>199</v>
      </c>
      <c r="C67" s="170" t="s">
        <v>40</v>
      </c>
      <c r="D67" s="161">
        <v>2019</v>
      </c>
      <c r="E67" s="161">
        <v>2023</v>
      </c>
      <c r="F67" s="171">
        <f>15000+75083+3500000+1400000+74175</f>
        <v>5064258</v>
      </c>
      <c r="G67" s="171">
        <f>49083+26000+1400000-1120000-207483+74175</f>
        <v>221775</v>
      </c>
      <c r="H67" s="171">
        <v>1000000</v>
      </c>
      <c r="I67" s="171">
        <v>2000000</v>
      </c>
      <c r="J67" s="171">
        <v>1827483</v>
      </c>
      <c r="K67" s="172"/>
      <c r="L67" s="172"/>
      <c r="M67" s="172"/>
      <c r="N67" s="172"/>
      <c r="O67" s="172"/>
      <c r="P67" s="27">
        <f t="shared" si="17"/>
        <v>5049258</v>
      </c>
    </row>
    <row r="68" spans="1:17" s="52" customFormat="1" ht="33.75" customHeight="1">
      <c r="A68" s="26" t="s">
        <v>102</v>
      </c>
      <c r="B68" s="186" t="s">
        <v>200</v>
      </c>
      <c r="C68" s="173" t="s">
        <v>40</v>
      </c>
      <c r="D68" s="161">
        <v>2018</v>
      </c>
      <c r="E68" s="161">
        <v>2021</v>
      </c>
      <c r="F68" s="171">
        <f>3834256-1113015-419864</f>
        <v>2301377</v>
      </c>
      <c r="G68" s="171">
        <f>2700600-1113015</f>
        <v>1587585</v>
      </c>
      <c r="H68" s="171">
        <f>1099400-419864</f>
        <v>679536</v>
      </c>
      <c r="I68" s="171"/>
      <c r="J68" s="171"/>
      <c r="K68" s="183"/>
      <c r="L68" s="183"/>
      <c r="M68" s="183"/>
      <c r="N68" s="183"/>
      <c r="O68" s="183"/>
      <c r="P68" s="27">
        <f t="shared" si="17"/>
        <v>2267121</v>
      </c>
      <c r="Q68" s="102"/>
    </row>
    <row r="69" spans="1:17" s="52" customFormat="1" ht="40.5" customHeight="1">
      <c r="A69" s="26" t="s">
        <v>109</v>
      </c>
      <c r="B69" s="64" t="s">
        <v>201</v>
      </c>
      <c r="C69" s="65" t="s">
        <v>202</v>
      </c>
      <c r="D69" s="66">
        <v>2020</v>
      </c>
      <c r="E69" s="66">
        <v>2024</v>
      </c>
      <c r="F69" s="115">
        <v>600000</v>
      </c>
      <c r="G69" s="115">
        <v>0</v>
      </c>
      <c r="H69" s="115">
        <v>50000</v>
      </c>
      <c r="I69" s="115">
        <v>200000</v>
      </c>
      <c r="J69" s="115">
        <v>350000</v>
      </c>
      <c r="K69" s="115">
        <v>0</v>
      </c>
      <c r="L69" s="115"/>
      <c r="M69" s="115"/>
      <c r="N69" s="115"/>
      <c r="O69" s="115"/>
      <c r="P69" s="27">
        <f t="shared" si="17"/>
        <v>600000</v>
      </c>
    </row>
    <row r="70" spans="1:17" s="52" customFormat="1" ht="32.25" customHeight="1">
      <c r="A70" s="26" t="s">
        <v>110</v>
      </c>
      <c r="B70" s="64" t="s">
        <v>203</v>
      </c>
      <c r="C70" s="65" t="s">
        <v>202</v>
      </c>
      <c r="D70" s="66">
        <v>2020</v>
      </c>
      <c r="E70" s="66">
        <v>2026</v>
      </c>
      <c r="F70" s="115">
        <v>800000</v>
      </c>
      <c r="G70" s="115">
        <v>0</v>
      </c>
      <c r="H70" s="115">
        <v>50000</v>
      </c>
      <c r="I70" s="115">
        <v>250000</v>
      </c>
      <c r="J70" s="115">
        <v>250000</v>
      </c>
      <c r="K70" s="115">
        <v>250000</v>
      </c>
      <c r="L70" s="115">
        <v>0</v>
      </c>
      <c r="M70" s="115">
        <v>0</v>
      </c>
      <c r="N70" s="115"/>
      <c r="O70" s="115"/>
      <c r="P70" s="27">
        <f t="shared" si="17"/>
        <v>800000</v>
      </c>
    </row>
    <row r="71" spans="1:17" s="52" customFormat="1" ht="35.25" customHeight="1">
      <c r="A71" s="26" t="s">
        <v>111</v>
      </c>
      <c r="B71" s="64" t="s">
        <v>204</v>
      </c>
      <c r="C71" s="65" t="s">
        <v>202</v>
      </c>
      <c r="D71" s="66">
        <v>2020</v>
      </c>
      <c r="E71" s="66">
        <v>2024</v>
      </c>
      <c r="F71" s="115">
        <v>1500000</v>
      </c>
      <c r="G71" s="115">
        <v>0</v>
      </c>
      <c r="H71" s="115">
        <v>80000</v>
      </c>
      <c r="I71" s="115">
        <v>0</v>
      </c>
      <c r="J71" s="115">
        <v>0</v>
      </c>
      <c r="K71" s="115">
        <v>1420000</v>
      </c>
      <c r="L71" s="115"/>
      <c r="M71" s="115"/>
      <c r="N71" s="115"/>
      <c r="O71" s="115"/>
      <c r="P71" s="27">
        <f t="shared" si="17"/>
        <v>1500000</v>
      </c>
    </row>
    <row r="72" spans="1:17" s="52" customFormat="1" ht="32.25" customHeight="1">
      <c r="A72" s="26" t="s">
        <v>112</v>
      </c>
      <c r="B72" s="64" t="s">
        <v>205</v>
      </c>
      <c r="C72" s="65" t="s">
        <v>202</v>
      </c>
      <c r="D72" s="66">
        <v>2020</v>
      </c>
      <c r="E72" s="66">
        <v>2024</v>
      </c>
      <c r="F72" s="115">
        <v>440000</v>
      </c>
      <c r="G72" s="115">
        <v>0</v>
      </c>
      <c r="H72" s="115">
        <v>40000</v>
      </c>
      <c r="I72" s="115">
        <v>150000</v>
      </c>
      <c r="J72" s="115">
        <v>150000</v>
      </c>
      <c r="K72" s="115">
        <v>100000</v>
      </c>
      <c r="L72" s="115"/>
      <c r="M72" s="115"/>
      <c r="N72" s="115"/>
      <c r="O72" s="115"/>
      <c r="P72" s="27">
        <f t="shared" si="17"/>
        <v>440000</v>
      </c>
    </row>
    <row r="73" spans="1:17" s="52" customFormat="1" ht="44.25" customHeight="1">
      <c r="A73" s="26" t="s">
        <v>115</v>
      </c>
      <c r="B73" s="64" t="s">
        <v>206</v>
      </c>
      <c r="C73" s="65" t="s">
        <v>202</v>
      </c>
      <c r="D73" s="66">
        <v>2020</v>
      </c>
      <c r="E73" s="66">
        <v>2025</v>
      </c>
      <c r="F73" s="115">
        <v>4500000</v>
      </c>
      <c r="G73" s="115">
        <v>0</v>
      </c>
      <c r="H73" s="115">
        <v>150000</v>
      </c>
      <c r="I73" s="115">
        <v>0</v>
      </c>
      <c r="J73" s="115">
        <v>1000000</v>
      </c>
      <c r="K73" s="115">
        <v>1500000</v>
      </c>
      <c r="L73" s="115">
        <v>1850000</v>
      </c>
      <c r="M73" s="115"/>
      <c r="N73" s="115"/>
      <c r="O73" s="115"/>
      <c r="P73" s="27">
        <f t="shared" si="17"/>
        <v>4500000</v>
      </c>
    </row>
    <row r="74" spans="1:17" s="52" customFormat="1" ht="41.25" customHeight="1">
      <c r="A74" s="26" t="s">
        <v>119</v>
      </c>
      <c r="B74" s="64" t="s">
        <v>207</v>
      </c>
      <c r="C74" s="65" t="s">
        <v>202</v>
      </c>
      <c r="D74" s="66">
        <v>2020</v>
      </c>
      <c r="E74" s="66">
        <v>2025</v>
      </c>
      <c r="F74" s="115">
        <v>3150000</v>
      </c>
      <c r="G74" s="115">
        <v>0</v>
      </c>
      <c r="H74" s="115">
        <v>150000</v>
      </c>
      <c r="I74" s="115">
        <v>500000</v>
      </c>
      <c r="J74" s="115">
        <v>500000</v>
      </c>
      <c r="K74" s="115">
        <v>1000000</v>
      </c>
      <c r="L74" s="115">
        <v>1000000</v>
      </c>
      <c r="M74" s="115"/>
      <c r="N74" s="115"/>
      <c r="O74" s="115"/>
      <c r="P74" s="27">
        <f t="shared" si="17"/>
        <v>3150000</v>
      </c>
    </row>
    <row r="75" spans="1:17" s="52" customFormat="1" ht="55.5" customHeight="1">
      <c r="A75" s="201" t="s">
        <v>122</v>
      </c>
      <c r="B75" s="204" t="s">
        <v>375</v>
      </c>
      <c r="C75" s="205" t="s">
        <v>202</v>
      </c>
      <c r="D75" s="202">
        <v>2020</v>
      </c>
      <c r="E75" s="202">
        <v>2024</v>
      </c>
      <c r="F75" s="206">
        <v>1270000</v>
      </c>
      <c r="G75" s="206">
        <v>0</v>
      </c>
      <c r="H75" s="206">
        <v>70000</v>
      </c>
      <c r="I75" s="206">
        <v>0</v>
      </c>
      <c r="J75" s="206">
        <v>600000</v>
      </c>
      <c r="K75" s="206">
        <v>600000</v>
      </c>
      <c r="L75" s="206"/>
      <c r="M75" s="206"/>
      <c r="N75" s="206"/>
      <c r="O75" s="206"/>
      <c r="P75" s="203">
        <f t="shared" si="17"/>
        <v>1270000</v>
      </c>
    </row>
    <row r="76" spans="1:17" s="52" customFormat="1" ht="47.25" customHeight="1">
      <c r="A76" s="26" t="s">
        <v>218</v>
      </c>
      <c r="B76" s="64" t="s">
        <v>208</v>
      </c>
      <c r="C76" s="65" t="s">
        <v>202</v>
      </c>
      <c r="D76" s="66">
        <v>2020</v>
      </c>
      <c r="E76" s="66">
        <v>2025</v>
      </c>
      <c r="F76" s="115">
        <v>2070000</v>
      </c>
      <c r="G76" s="115">
        <v>0</v>
      </c>
      <c r="H76" s="115">
        <v>70000</v>
      </c>
      <c r="I76" s="115">
        <v>0</v>
      </c>
      <c r="J76" s="115">
        <v>0</v>
      </c>
      <c r="K76" s="115">
        <v>0</v>
      </c>
      <c r="L76" s="115">
        <v>2000000</v>
      </c>
      <c r="M76" s="115"/>
      <c r="N76" s="115"/>
      <c r="O76" s="115"/>
      <c r="P76" s="27">
        <f t="shared" si="17"/>
        <v>2070000</v>
      </c>
    </row>
    <row r="77" spans="1:17" s="52" customFormat="1" ht="35.25" customHeight="1">
      <c r="A77" s="26" t="s">
        <v>219</v>
      </c>
      <c r="B77" s="64" t="s">
        <v>351</v>
      </c>
      <c r="C77" s="65" t="s">
        <v>202</v>
      </c>
      <c r="D77" s="66">
        <v>2020</v>
      </c>
      <c r="E77" s="66">
        <v>2024</v>
      </c>
      <c r="F77" s="115">
        <v>4500000</v>
      </c>
      <c r="G77" s="115">
        <v>0</v>
      </c>
      <c r="H77" s="115">
        <v>150000</v>
      </c>
      <c r="I77" s="115">
        <v>0</v>
      </c>
      <c r="J77" s="115">
        <v>2000000</v>
      </c>
      <c r="K77" s="115">
        <v>2350000</v>
      </c>
      <c r="L77" s="115"/>
      <c r="M77" s="115"/>
      <c r="N77" s="115"/>
      <c r="O77" s="115"/>
      <c r="P77" s="27">
        <f t="shared" si="17"/>
        <v>4500000</v>
      </c>
    </row>
    <row r="78" spans="1:17" s="52" customFormat="1" ht="51" customHeight="1">
      <c r="A78" s="26" t="s">
        <v>220</v>
      </c>
      <c r="B78" s="64" t="s">
        <v>209</v>
      </c>
      <c r="C78" s="65" t="s">
        <v>202</v>
      </c>
      <c r="D78" s="66">
        <v>2020</v>
      </c>
      <c r="E78" s="66">
        <v>2022</v>
      </c>
      <c r="F78" s="115">
        <v>150000</v>
      </c>
      <c r="G78" s="115">
        <v>0</v>
      </c>
      <c r="H78" s="115">
        <v>30000</v>
      </c>
      <c r="I78" s="115">
        <v>120000</v>
      </c>
      <c r="J78" s="115"/>
      <c r="K78" s="115"/>
      <c r="L78" s="115"/>
      <c r="M78" s="115"/>
      <c r="N78" s="115"/>
      <c r="O78" s="115"/>
      <c r="P78" s="27">
        <f t="shared" si="17"/>
        <v>150000</v>
      </c>
    </row>
    <row r="79" spans="1:17" s="52" customFormat="1" ht="30.75" customHeight="1">
      <c r="A79" s="26" t="s">
        <v>221</v>
      </c>
      <c r="B79" s="64" t="s">
        <v>210</v>
      </c>
      <c r="C79" s="65" t="s">
        <v>202</v>
      </c>
      <c r="D79" s="66">
        <v>2020</v>
      </c>
      <c r="E79" s="66">
        <v>2027</v>
      </c>
      <c r="F79" s="115">
        <v>790000</v>
      </c>
      <c r="G79" s="115">
        <v>0</v>
      </c>
      <c r="H79" s="115">
        <v>40000</v>
      </c>
      <c r="I79" s="115"/>
      <c r="J79" s="115">
        <v>250000</v>
      </c>
      <c r="K79" s="115">
        <v>250000</v>
      </c>
      <c r="L79" s="115">
        <v>250000</v>
      </c>
      <c r="M79" s="115">
        <v>0</v>
      </c>
      <c r="N79" s="115">
        <v>0</v>
      </c>
      <c r="O79" s="115"/>
      <c r="P79" s="27">
        <f t="shared" si="17"/>
        <v>790000</v>
      </c>
    </row>
    <row r="80" spans="1:17" s="52" customFormat="1" ht="32.25" customHeight="1">
      <c r="A80" s="26" t="s">
        <v>222</v>
      </c>
      <c r="B80" s="64" t="s">
        <v>211</v>
      </c>
      <c r="C80" s="65" t="s">
        <v>202</v>
      </c>
      <c r="D80" s="66">
        <v>2019</v>
      </c>
      <c r="E80" s="66">
        <v>2021</v>
      </c>
      <c r="F80" s="115">
        <v>350000</v>
      </c>
      <c r="G80" s="115">
        <v>0</v>
      </c>
      <c r="H80" s="115">
        <v>200000</v>
      </c>
      <c r="I80" s="115"/>
      <c r="J80" s="115"/>
      <c r="K80" s="115"/>
      <c r="L80" s="115"/>
      <c r="M80" s="115"/>
      <c r="N80" s="115"/>
      <c r="O80" s="115"/>
      <c r="P80" s="27">
        <f t="shared" si="17"/>
        <v>200000</v>
      </c>
    </row>
    <row r="81" spans="1:16" s="52" customFormat="1" ht="35.25" customHeight="1">
      <c r="A81" s="26" t="s">
        <v>223</v>
      </c>
      <c r="B81" s="64" t="s">
        <v>212</v>
      </c>
      <c r="C81" s="65" t="s">
        <v>202</v>
      </c>
      <c r="D81" s="66">
        <v>2020</v>
      </c>
      <c r="E81" s="66">
        <v>2026</v>
      </c>
      <c r="F81" s="115">
        <v>5200000</v>
      </c>
      <c r="G81" s="115">
        <v>0</v>
      </c>
      <c r="H81" s="115">
        <v>0</v>
      </c>
      <c r="I81" s="115">
        <v>0</v>
      </c>
      <c r="J81" s="115">
        <v>150000</v>
      </c>
      <c r="K81" s="115">
        <v>0</v>
      </c>
      <c r="L81" s="115">
        <v>2500000</v>
      </c>
      <c r="M81" s="115">
        <v>2550000</v>
      </c>
      <c r="N81" s="115"/>
      <c r="O81" s="115"/>
      <c r="P81" s="27">
        <f t="shared" si="17"/>
        <v>5200000</v>
      </c>
    </row>
    <row r="82" spans="1:16" s="52" customFormat="1" ht="38.25" customHeight="1">
      <c r="A82" s="26" t="s">
        <v>224</v>
      </c>
      <c r="B82" s="64" t="s">
        <v>213</v>
      </c>
      <c r="C82" s="65" t="s">
        <v>202</v>
      </c>
      <c r="D82" s="66">
        <v>2020</v>
      </c>
      <c r="E82" s="66">
        <v>2028</v>
      </c>
      <c r="F82" s="115">
        <v>2120000</v>
      </c>
      <c r="G82" s="115">
        <v>0</v>
      </c>
      <c r="H82" s="115">
        <v>0</v>
      </c>
      <c r="I82" s="115">
        <v>120000</v>
      </c>
      <c r="J82" s="115">
        <v>0</v>
      </c>
      <c r="K82" s="115">
        <v>0</v>
      </c>
      <c r="L82" s="115">
        <v>500000</v>
      </c>
      <c r="M82" s="115">
        <v>500000</v>
      </c>
      <c r="N82" s="115">
        <v>500000</v>
      </c>
      <c r="O82" s="115">
        <v>500000</v>
      </c>
      <c r="P82" s="27">
        <f t="shared" si="17"/>
        <v>2120000</v>
      </c>
    </row>
    <row r="83" spans="1:16" s="52" customFormat="1" ht="33.75" customHeight="1">
      <c r="A83" s="26" t="s">
        <v>225</v>
      </c>
      <c r="B83" s="64" t="s">
        <v>214</v>
      </c>
      <c r="C83" s="65" t="s">
        <v>202</v>
      </c>
      <c r="D83" s="66">
        <v>2020</v>
      </c>
      <c r="E83" s="66">
        <v>2025</v>
      </c>
      <c r="F83" s="115">
        <v>2100000</v>
      </c>
      <c r="G83" s="115">
        <v>0</v>
      </c>
      <c r="H83" s="115">
        <v>0</v>
      </c>
      <c r="I83" s="115">
        <v>100000</v>
      </c>
      <c r="J83" s="115">
        <v>0</v>
      </c>
      <c r="K83" s="115">
        <v>1000000</v>
      </c>
      <c r="L83" s="115">
        <v>1000000</v>
      </c>
      <c r="M83" s="115"/>
      <c r="N83" s="115"/>
      <c r="O83" s="115"/>
      <c r="P83" s="27">
        <f t="shared" si="17"/>
        <v>2100000</v>
      </c>
    </row>
    <row r="84" spans="1:16" s="52" customFormat="1" ht="30.75" customHeight="1">
      <c r="A84" s="26" t="s">
        <v>226</v>
      </c>
      <c r="B84" s="64" t="s">
        <v>215</v>
      </c>
      <c r="C84" s="65" t="s">
        <v>202</v>
      </c>
      <c r="D84" s="66">
        <v>2020</v>
      </c>
      <c r="E84" s="66">
        <v>2025</v>
      </c>
      <c r="F84" s="115">
        <v>750000</v>
      </c>
      <c r="G84" s="115">
        <v>0</v>
      </c>
      <c r="H84" s="115">
        <v>0</v>
      </c>
      <c r="I84" s="115">
        <v>100000</v>
      </c>
      <c r="J84" s="115">
        <v>0</v>
      </c>
      <c r="K84" s="115">
        <v>300000</v>
      </c>
      <c r="L84" s="115">
        <v>300000</v>
      </c>
      <c r="M84" s="115"/>
      <c r="N84" s="115"/>
      <c r="O84" s="115"/>
      <c r="P84" s="27">
        <f t="shared" si="17"/>
        <v>700000</v>
      </c>
    </row>
    <row r="85" spans="1:16" s="52" customFormat="1" ht="33" customHeight="1">
      <c r="A85" s="26" t="s">
        <v>227</v>
      </c>
      <c r="B85" s="174" t="s">
        <v>350</v>
      </c>
      <c r="C85" s="173" t="s">
        <v>202</v>
      </c>
      <c r="D85" s="162">
        <v>2020</v>
      </c>
      <c r="E85" s="162">
        <v>2025</v>
      </c>
      <c r="F85" s="175">
        <v>1560000</v>
      </c>
      <c r="G85" s="175">
        <v>0</v>
      </c>
      <c r="H85" s="175">
        <v>390000</v>
      </c>
      <c r="I85" s="175">
        <v>390000</v>
      </c>
      <c r="J85" s="175">
        <v>260000</v>
      </c>
      <c r="K85" s="175">
        <v>390000</v>
      </c>
      <c r="L85" s="175">
        <v>130000</v>
      </c>
      <c r="M85" s="175"/>
      <c r="N85" s="175"/>
      <c r="O85" s="175"/>
      <c r="P85" s="163">
        <f t="shared" si="17"/>
        <v>1560000</v>
      </c>
    </row>
    <row r="86" spans="1:16" s="52" customFormat="1" ht="42.75" customHeight="1">
      <c r="A86" s="68" t="s">
        <v>228</v>
      </c>
      <c r="B86" s="116" t="s">
        <v>229</v>
      </c>
      <c r="C86" s="87" t="s">
        <v>230</v>
      </c>
      <c r="D86" s="68">
        <v>2020</v>
      </c>
      <c r="E86" s="68">
        <v>2022</v>
      </c>
      <c r="F86" s="114">
        <v>2000000</v>
      </c>
      <c r="G86" s="101">
        <v>0</v>
      </c>
      <c r="H86" s="114">
        <v>2000000</v>
      </c>
      <c r="I86" s="114"/>
      <c r="J86" s="114"/>
      <c r="K86" s="114"/>
      <c r="L86" s="114"/>
      <c r="M86" s="114"/>
      <c r="N86" s="114"/>
      <c r="O86" s="114"/>
      <c r="P86" s="117">
        <f t="shared" si="17"/>
        <v>2000000</v>
      </c>
    </row>
    <row r="87" spans="1:16" s="52" customFormat="1" ht="39" customHeight="1">
      <c r="A87" s="68" t="s">
        <v>354</v>
      </c>
      <c r="B87" s="176" t="s">
        <v>353</v>
      </c>
      <c r="C87" s="65" t="s">
        <v>202</v>
      </c>
      <c r="D87" s="164">
        <v>2019</v>
      </c>
      <c r="E87" s="164">
        <v>2020</v>
      </c>
      <c r="F87" s="114">
        <f>144502+54650</f>
        <v>199152</v>
      </c>
      <c r="G87" s="114">
        <v>54650</v>
      </c>
      <c r="H87" s="114"/>
      <c r="I87" s="114"/>
      <c r="J87" s="114"/>
      <c r="K87" s="114"/>
      <c r="L87" s="114"/>
      <c r="M87" s="114"/>
      <c r="N87" s="114"/>
      <c r="O87" s="114"/>
      <c r="P87" s="117">
        <f t="shared" si="17"/>
        <v>54650</v>
      </c>
    </row>
    <row r="88" spans="1:16" s="52" customFormat="1" ht="45" customHeight="1">
      <c r="A88" s="68" t="s">
        <v>371</v>
      </c>
      <c r="B88" s="184" t="s">
        <v>372</v>
      </c>
      <c r="C88" s="185" t="s">
        <v>202</v>
      </c>
      <c r="D88" s="164">
        <v>2019</v>
      </c>
      <c r="E88" s="164">
        <v>2020</v>
      </c>
      <c r="F88" s="114">
        <v>200001.22</v>
      </c>
      <c r="G88" s="114">
        <v>100000</v>
      </c>
      <c r="H88" s="114"/>
      <c r="I88" s="114"/>
      <c r="J88" s="114"/>
      <c r="K88" s="114"/>
      <c r="L88" s="114"/>
      <c r="M88" s="114"/>
      <c r="N88" s="114"/>
      <c r="O88" s="114"/>
      <c r="P88" s="114">
        <f t="shared" si="17"/>
        <v>100000</v>
      </c>
    </row>
    <row r="89" spans="1:16" s="52" customFormat="1">
      <c r="A89" s="160"/>
      <c r="C89" s="108"/>
      <c r="D89" s="160"/>
      <c r="E89" s="160"/>
      <c r="P89" s="21"/>
    </row>
    <row r="90" spans="1:16" s="52" customFormat="1">
      <c r="A90" s="160"/>
      <c r="C90" s="108"/>
      <c r="D90" s="160"/>
      <c r="E90" s="160"/>
      <c r="P90" s="21"/>
    </row>
    <row r="91" spans="1:16" s="52" customFormat="1">
      <c r="A91" s="160"/>
      <c r="C91" s="108"/>
      <c r="D91" s="160"/>
      <c r="E91" s="160"/>
      <c r="P91" s="21"/>
    </row>
    <row r="92" spans="1:16" s="52" customFormat="1">
      <c r="A92" s="160"/>
      <c r="C92" s="108"/>
      <c r="D92" s="160"/>
      <c r="E92" s="160"/>
      <c r="P92" s="21"/>
    </row>
    <row r="93" spans="1:16" s="52" customFormat="1">
      <c r="A93" s="160"/>
      <c r="C93" s="108"/>
      <c r="D93" s="160"/>
      <c r="E93" s="160"/>
      <c r="P93" s="21"/>
    </row>
    <row r="94" spans="1:16" s="52" customFormat="1">
      <c r="A94" s="160"/>
      <c r="C94" s="108"/>
      <c r="D94" s="160"/>
      <c r="E94" s="160"/>
      <c r="P94" s="21"/>
    </row>
    <row r="95" spans="1:16" s="52" customFormat="1">
      <c r="A95" s="160"/>
      <c r="C95" s="108"/>
      <c r="D95" s="160"/>
      <c r="E95" s="160"/>
      <c r="P95" s="21"/>
    </row>
    <row r="96" spans="1:16" s="52" customFormat="1">
      <c r="A96" s="160"/>
      <c r="C96" s="108"/>
      <c r="D96" s="160"/>
      <c r="E96" s="160"/>
      <c r="P96" s="21"/>
    </row>
    <row r="97" spans="1:16" s="52" customFormat="1">
      <c r="A97" s="160"/>
      <c r="C97" s="108"/>
      <c r="D97" s="160"/>
      <c r="E97" s="160"/>
      <c r="P97" s="21"/>
    </row>
    <row r="98" spans="1:16" s="52" customFormat="1">
      <c r="A98" s="160"/>
      <c r="C98" s="108"/>
      <c r="D98" s="160"/>
      <c r="E98" s="160"/>
      <c r="P98" s="21"/>
    </row>
    <row r="99" spans="1:16" s="52" customFormat="1">
      <c r="A99" s="160"/>
      <c r="C99" s="108"/>
      <c r="D99" s="160"/>
      <c r="E99" s="160"/>
      <c r="P99" s="21"/>
    </row>
    <row r="100" spans="1:16" s="52" customFormat="1">
      <c r="A100" s="160"/>
      <c r="C100" s="108"/>
      <c r="D100" s="160"/>
      <c r="E100" s="160"/>
      <c r="P100" s="21"/>
    </row>
    <row r="101" spans="1:16" s="52" customFormat="1">
      <c r="A101" s="160"/>
      <c r="C101" s="108"/>
      <c r="D101" s="160"/>
      <c r="E101" s="160"/>
      <c r="P101" s="21"/>
    </row>
    <row r="102" spans="1:16" s="52" customFormat="1">
      <c r="A102" s="160"/>
      <c r="C102" s="108"/>
      <c r="D102" s="160"/>
      <c r="E102" s="160"/>
      <c r="P102" s="21"/>
    </row>
    <row r="103" spans="1:16" s="52" customFormat="1">
      <c r="A103" s="160"/>
      <c r="C103" s="108"/>
      <c r="D103" s="160"/>
      <c r="E103" s="160"/>
      <c r="P103" s="21"/>
    </row>
    <row r="104" spans="1:16" s="52" customFormat="1">
      <c r="A104" s="160"/>
      <c r="C104" s="108"/>
      <c r="D104" s="160"/>
      <c r="E104" s="160"/>
      <c r="P104" s="21"/>
    </row>
    <row r="105" spans="1:16" s="52" customFormat="1">
      <c r="A105" s="160"/>
      <c r="C105" s="108"/>
      <c r="D105" s="160"/>
      <c r="E105" s="160"/>
      <c r="P105" s="21"/>
    </row>
    <row r="106" spans="1:16" s="52" customFormat="1">
      <c r="A106" s="160"/>
      <c r="C106" s="108"/>
      <c r="D106" s="160"/>
      <c r="E106" s="160"/>
      <c r="P106" s="21"/>
    </row>
    <row r="107" spans="1:16" s="52" customFormat="1">
      <c r="A107" s="160"/>
      <c r="C107" s="108"/>
      <c r="D107" s="160"/>
      <c r="E107" s="160"/>
      <c r="P107" s="21"/>
    </row>
    <row r="108" spans="1:16" s="52" customFormat="1">
      <c r="A108" s="160"/>
      <c r="C108" s="108"/>
      <c r="D108" s="160"/>
      <c r="E108" s="160"/>
      <c r="P108" s="21"/>
    </row>
    <row r="109" spans="1:16" s="52" customFormat="1">
      <c r="A109" s="160"/>
      <c r="C109" s="108"/>
      <c r="D109" s="160"/>
      <c r="E109" s="160"/>
      <c r="P109" s="21"/>
    </row>
    <row r="110" spans="1:16" s="52" customFormat="1">
      <c r="A110" s="160"/>
      <c r="C110" s="108"/>
      <c r="D110" s="160"/>
      <c r="E110" s="160"/>
      <c r="P110" s="21"/>
    </row>
    <row r="111" spans="1:16" s="52" customFormat="1">
      <c r="A111" s="160"/>
      <c r="C111" s="108"/>
      <c r="D111" s="160"/>
      <c r="E111" s="160"/>
      <c r="P111" s="21"/>
    </row>
    <row r="112" spans="1:16" s="52" customFormat="1">
      <c r="A112" s="160"/>
      <c r="C112" s="108"/>
      <c r="D112" s="160"/>
      <c r="E112" s="160"/>
      <c r="P112" s="21"/>
    </row>
    <row r="113" spans="1:16" s="52" customFormat="1">
      <c r="A113" s="160"/>
      <c r="C113" s="108"/>
      <c r="D113" s="160"/>
      <c r="E113" s="160"/>
      <c r="P113" s="21"/>
    </row>
    <row r="114" spans="1:16" s="52" customFormat="1">
      <c r="A114" s="160"/>
      <c r="C114" s="108"/>
      <c r="D114" s="160"/>
      <c r="E114" s="160"/>
      <c r="P114" s="21"/>
    </row>
    <row r="115" spans="1:16" s="52" customFormat="1">
      <c r="A115" s="160"/>
      <c r="C115" s="108"/>
      <c r="D115" s="160"/>
      <c r="E115" s="160"/>
      <c r="P115" s="21"/>
    </row>
    <row r="116" spans="1:16" s="52" customFormat="1">
      <c r="A116" s="160"/>
      <c r="C116" s="108"/>
      <c r="D116" s="160"/>
      <c r="E116" s="160"/>
      <c r="P116" s="21"/>
    </row>
    <row r="117" spans="1:16" s="52" customFormat="1">
      <c r="A117" s="160"/>
      <c r="C117" s="108"/>
      <c r="D117" s="160"/>
      <c r="E117" s="160"/>
      <c r="P117" s="21"/>
    </row>
    <row r="118" spans="1:16" s="52" customFormat="1">
      <c r="A118" s="160"/>
      <c r="C118" s="108"/>
      <c r="D118" s="160"/>
      <c r="E118" s="160"/>
      <c r="P118" s="21"/>
    </row>
    <row r="119" spans="1:16" s="52" customFormat="1">
      <c r="A119" s="160"/>
      <c r="C119" s="108"/>
      <c r="D119" s="160"/>
      <c r="E119" s="160"/>
      <c r="P119" s="21"/>
    </row>
    <row r="120" spans="1:16" s="52" customFormat="1">
      <c r="A120" s="160"/>
      <c r="C120" s="108"/>
      <c r="D120" s="160"/>
      <c r="E120" s="160"/>
      <c r="P120" s="21"/>
    </row>
    <row r="121" spans="1:16" s="52" customFormat="1">
      <c r="A121" s="160"/>
      <c r="C121" s="108"/>
      <c r="D121" s="160"/>
      <c r="E121" s="160"/>
      <c r="P121" s="21"/>
    </row>
    <row r="122" spans="1:16" s="52" customFormat="1">
      <c r="A122" s="160"/>
      <c r="C122" s="108"/>
      <c r="D122" s="160"/>
      <c r="E122" s="160"/>
      <c r="P122" s="21"/>
    </row>
    <row r="123" spans="1:16" s="52" customFormat="1">
      <c r="A123" s="160"/>
      <c r="C123" s="108"/>
      <c r="D123" s="160"/>
      <c r="E123" s="160"/>
      <c r="P123" s="21"/>
    </row>
    <row r="124" spans="1:16" s="52" customFormat="1">
      <c r="A124" s="160"/>
      <c r="C124" s="108"/>
      <c r="D124" s="160"/>
      <c r="E124" s="160"/>
      <c r="P124" s="21"/>
    </row>
    <row r="125" spans="1:16" s="52" customFormat="1">
      <c r="A125" s="160"/>
      <c r="C125" s="108"/>
      <c r="D125" s="160"/>
      <c r="E125" s="160"/>
      <c r="P125" s="21"/>
    </row>
    <row r="126" spans="1:16" s="52" customFormat="1">
      <c r="A126" s="160"/>
      <c r="C126" s="108"/>
      <c r="D126" s="160"/>
      <c r="E126" s="160"/>
      <c r="P126" s="21"/>
    </row>
    <row r="127" spans="1:16" s="52" customFormat="1">
      <c r="A127" s="160"/>
      <c r="C127" s="108"/>
      <c r="D127" s="160"/>
      <c r="E127" s="160"/>
      <c r="P127" s="21"/>
    </row>
    <row r="128" spans="1:16" s="52" customFormat="1">
      <c r="A128" s="160"/>
      <c r="C128" s="108"/>
      <c r="D128" s="160"/>
      <c r="E128" s="160"/>
      <c r="P128" s="21"/>
    </row>
    <row r="129" spans="1:16" s="52" customFormat="1">
      <c r="A129" s="160"/>
      <c r="C129" s="108"/>
      <c r="D129" s="160"/>
      <c r="E129" s="160"/>
      <c r="P129" s="21"/>
    </row>
    <row r="130" spans="1:16" s="52" customFormat="1">
      <c r="A130" s="160"/>
      <c r="C130" s="108"/>
      <c r="D130" s="160"/>
      <c r="E130" s="160"/>
      <c r="P130" s="21"/>
    </row>
    <row r="131" spans="1:16" s="52" customFormat="1">
      <c r="A131" s="160"/>
      <c r="C131" s="108"/>
      <c r="D131" s="160"/>
      <c r="E131" s="160"/>
      <c r="P131" s="21"/>
    </row>
    <row r="132" spans="1:16" s="52" customFormat="1">
      <c r="A132" s="160"/>
      <c r="C132" s="108"/>
      <c r="D132" s="160"/>
      <c r="E132" s="160"/>
      <c r="P132" s="21"/>
    </row>
    <row r="133" spans="1:16" s="52" customFormat="1">
      <c r="A133" s="160"/>
      <c r="C133" s="108"/>
      <c r="D133" s="160"/>
      <c r="E133" s="160"/>
      <c r="P133" s="21"/>
    </row>
    <row r="134" spans="1:16" s="52" customFormat="1">
      <c r="A134" s="160"/>
      <c r="C134" s="108"/>
      <c r="D134" s="160"/>
      <c r="E134" s="160"/>
      <c r="P134" s="21"/>
    </row>
    <row r="135" spans="1:16" s="52" customFormat="1">
      <c r="A135" s="160"/>
      <c r="C135" s="108"/>
      <c r="D135" s="160"/>
      <c r="E135" s="160"/>
      <c r="P135" s="21"/>
    </row>
    <row r="136" spans="1:16" s="52" customFormat="1">
      <c r="A136" s="160"/>
      <c r="C136" s="108"/>
      <c r="D136" s="160"/>
      <c r="E136" s="160"/>
      <c r="P136" s="21"/>
    </row>
    <row r="137" spans="1:16" s="52" customFormat="1">
      <c r="A137" s="160"/>
      <c r="C137" s="108"/>
      <c r="D137" s="160"/>
      <c r="E137" s="160"/>
      <c r="P137" s="21"/>
    </row>
    <row r="138" spans="1:16" s="52" customFormat="1">
      <c r="A138" s="160"/>
      <c r="C138" s="108"/>
      <c r="D138" s="160"/>
      <c r="E138" s="160"/>
      <c r="P138" s="21"/>
    </row>
    <row r="139" spans="1:16" s="52" customFormat="1">
      <c r="A139" s="160"/>
      <c r="C139" s="108"/>
      <c r="D139" s="160"/>
      <c r="E139" s="160"/>
      <c r="P139" s="21"/>
    </row>
    <row r="140" spans="1:16" s="52" customFormat="1">
      <c r="A140" s="160"/>
      <c r="C140" s="108"/>
      <c r="D140" s="160"/>
      <c r="E140" s="160"/>
      <c r="P140" s="21"/>
    </row>
    <row r="141" spans="1:16" s="52" customFormat="1">
      <c r="A141" s="160"/>
      <c r="C141" s="108"/>
      <c r="D141" s="160"/>
      <c r="E141" s="160"/>
      <c r="P141" s="21"/>
    </row>
    <row r="142" spans="1:16" s="52" customFormat="1">
      <c r="A142" s="160"/>
      <c r="C142" s="108"/>
      <c r="D142" s="160"/>
      <c r="E142" s="160"/>
      <c r="P142" s="21"/>
    </row>
    <row r="143" spans="1:16" s="52" customFormat="1">
      <c r="A143" s="160"/>
      <c r="C143" s="108"/>
      <c r="D143" s="160"/>
      <c r="E143" s="160"/>
      <c r="P143" s="21"/>
    </row>
    <row r="144" spans="1:16" s="52" customFormat="1">
      <c r="A144" s="160"/>
      <c r="C144" s="108"/>
      <c r="D144" s="160"/>
      <c r="E144" s="160"/>
      <c r="P144" s="21"/>
    </row>
    <row r="145" spans="1:16" s="52" customFormat="1">
      <c r="A145" s="160"/>
      <c r="C145" s="108"/>
      <c r="D145" s="160"/>
      <c r="E145" s="160"/>
      <c r="P145" s="21"/>
    </row>
    <row r="146" spans="1:16" s="52" customFormat="1">
      <c r="A146" s="160"/>
      <c r="C146" s="108"/>
      <c r="D146" s="160"/>
      <c r="E146" s="160"/>
      <c r="P146" s="21"/>
    </row>
    <row r="147" spans="1:16" s="52" customFormat="1">
      <c r="A147" s="160"/>
      <c r="C147" s="108"/>
      <c r="D147" s="160"/>
      <c r="E147" s="160"/>
      <c r="P147" s="21"/>
    </row>
    <row r="148" spans="1:16" s="52" customFormat="1">
      <c r="A148" s="160"/>
      <c r="C148" s="108"/>
      <c r="D148" s="160"/>
      <c r="E148" s="160"/>
      <c r="P148" s="21"/>
    </row>
    <row r="149" spans="1:16" s="52" customFormat="1">
      <c r="A149" s="160"/>
      <c r="C149" s="108"/>
      <c r="D149" s="160"/>
      <c r="E149" s="160"/>
      <c r="P149" s="21"/>
    </row>
    <row r="150" spans="1:16" s="52" customFormat="1">
      <c r="A150" s="160"/>
      <c r="C150" s="108"/>
      <c r="D150" s="160"/>
      <c r="E150" s="160"/>
      <c r="P150" s="21"/>
    </row>
    <row r="151" spans="1:16" s="52" customFormat="1">
      <c r="A151" s="160"/>
      <c r="C151" s="108"/>
      <c r="D151" s="160"/>
      <c r="E151" s="160"/>
      <c r="P151" s="21"/>
    </row>
    <row r="152" spans="1:16" s="52" customFormat="1">
      <c r="A152" s="160"/>
      <c r="C152" s="108"/>
      <c r="D152" s="160"/>
      <c r="E152" s="160"/>
      <c r="P152" s="21"/>
    </row>
    <row r="153" spans="1:16" s="52" customFormat="1">
      <c r="A153" s="160"/>
      <c r="C153" s="108"/>
      <c r="D153" s="160"/>
      <c r="E153" s="160"/>
      <c r="P153" s="21"/>
    </row>
    <row r="154" spans="1:16" s="52" customFormat="1">
      <c r="A154" s="160"/>
      <c r="C154" s="108"/>
      <c r="D154" s="160"/>
      <c r="E154" s="160"/>
      <c r="P154" s="21"/>
    </row>
    <row r="155" spans="1:16" s="52" customFormat="1">
      <c r="A155" s="160"/>
      <c r="C155" s="108"/>
      <c r="D155" s="160"/>
      <c r="E155" s="160"/>
      <c r="P155" s="21"/>
    </row>
    <row r="156" spans="1:16" s="52" customFormat="1">
      <c r="A156" s="160"/>
      <c r="C156" s="108"/>
      <c r="D156" s="160"/>
      <c r="E156" s="160"/>
      <c r="P156" s="21"/>
    </row>
    <row r="157" spans="1:16" s="52" customFormat="1">
      <c r="A157" s="160"/>
      <c r="C157" s="108"/>
      <c r="D157" s="160"/>
      <c r="E157" s="160"/>
      <c r="P157" s="21"/>
    </row>
    <row r="158" spans="1:16" s="52" customFormat="1">
      <c r="A158" s="160"/>
      <c r="C158" s="108"/>
      <c r="D158" s="160"/>
      <c r="E158" s="160"/>
      <c r="P158" s="21"/>
    </row>
    <row r="159" spans="1:16" s="52" customFormat="1">
      <c r="A159" s="160"/>
      <c r="C159" s="108"/>
      <c r="D159" s="160"/>
      <c r="E159" s="160"/>
      <c r="P159" s="21"/>
    </row>
    <row r="160" spans="1:16" s="52" customFormat="1">
      <c r="A160" s="160"/>
      <c r="C160" s="108"/>
      <c r="D160" s="160"/>
      <c r="E160" s="160"/>
      <c r="P160" s="21"/>
    </row>
    <row r="161" spans="1:16" s="52" customFormat="1">
      <c r="A161" s="160"/>
      <c r="C161" s="108"/>
      <c r="D161" s="160"/>
      <c r="E161" s="160"/>
      <c r="P161" s="21"/>
    </row>
    <row r="162" spans="1:16" s="52" customFormat="1">
      <c r="A162" s="160"/>
      <c r="C162" s="108"/>
      <c r="D162" s="160"/>
      <c r="E162" s="160"/>
      <c r="P162" s="21"/>
    </row>
    <row r="163" spans="1:16" s="52" customFormat="1">
      <c r="A163" s="160"/>
      <c r="C163" s="108"/>
      <c r="D163" s="160"/>
      <c r="E163" s="160"/>
      <c r="P163" s="21"/>
    </row>
    <row r="164" spans="1:16" s="52" customFormat="1">
      <c r="A164" s="160"/>
      <c r="C164" s="108"/>
      <c r="D164" s="160"/>
      <c r="E164" s="160"/>
      <c r="P164" s="21"/>
    </row>
    <row r="165" spans="1:16" s="52" customFormat="1">
      <c r="A165" s="160"/>
      <c r="C165" s="108"/>
      <c r="D165" s="160"/>
      <c r="E165" s="160"/>
      <c r="P165" s="21"/>
    </row>
    <row r="166" spans="1:16" s="52" customFormat="1">
      <c r="A166" s="160"/>
      <c r="C166" s="108"/>
      <c r="D166" s="160"/>
      <c r="E166" s="160"/>
      <c r="P166" s="21"/>
    </row>
    <row r="167" spans="1:16" s="52" customFormat="1">
      <c r="A167" s="160"/>
      <c r="C167" s="108"/>
      <c r="D167" s="160"/>
      <c r="E167" s="160"/>
      <c r="P167" s="21"/>
    </row>
    <row r="168" spans="1:16" s="52" customFormat="1">
      <c r="A168" s="160"/>
      <c r="C168" s="108"/>
      <c r="D168" s="160"/>
      <c r="E168" s="160"/>
      <c r="P168" s="21"/>
    </row>
    <row r="169" spans="1:16" s="52" customFormat="1">
      <c r="A169" s="160"/>
      <c r="C169" s="108"/>
      <c r="D169" s="160"/>
      <c r="E169" s="160"/>
      <c r="P169" s="21"/>
    </row>
    <row r="170" spans="1:16" s="52" customFormat="1">
      <c r="A170" s="160"/>
      <c r="C170" s="108"/>
      <c r="D170" s="160"/>
      <c r="E170" s="160"/>
      <c r="P170" s="21"/>
    </row>
    <row r="171" spans="1:16" s="52" customFormat="1">
      <c r="A171" s="160"/>
      <c r="C171" s="108"/>
      <c r="D171" s="160"/>
      <c r="E171" s="160"/>
      <c r="P171" s="21"/>
    </row>
    <row r="172" spans="1:16" s="52" customFormat="1">
      <c r="A172" s="160"/>
      <c r="C172" s="108"/>
      <c r="D172" s="160"/>
      <c r="E172" s="160"/>
      <c r="P172" s="21"/>
    </row>
    <row r="173" spans="1:16" s="52" customFormat="1">
      <c r="A173" s="160"/>
      <c r="C173" s="108"/>
      <c r="D173" s="160"/>
      <c r="E173" s="160"/>
      <c r="P173" s="21"/>
    </row>
    <row r="174" spans="1:16" s="52" customFormat="1">
      <c r="A174" s="160"/>
      <c r="C174" s="108"/>
      <c r="D174" s="160"/>
      <c r="E174" s="160"/>
      <c r="P174" s="21"/>
    </row>
    <row r="175" spans="1:16" s="52" customFormat="1">
      <c r="A175" s="160"/>
      <c r="C175" s="108"/>
      <c r="D175" s="160"/>
      <c r="E175" s="160"/>
      <c r="P175" s="21"/>
    </row>
    <row r="176" spans="1:16" s="52" customFormat="1">
      <c r="A176" s="160"/>
      <c r="C176" s="108"/>
      <c r="D176" s="160"/>
      <c r="E176" s="160"/>
      <c r="P176" s="21"/>
    </row>
    <row r="177" spans="1:16" s="52" customFormat="1">
      <c r="A177" s="160"/>
      <c r="C177" s="108"/>
      <c r="D177" s="160"/>
      <c r="E177" s="160"/>
      <c r="P177" s="21"/>
    </row>
    <row r="178" spans="1:16" s="52" customFormat="1">
      <c r="A178" s="160"/>
      <c r="C178" s="108"/>
      <c r="D178" s="160"/>
      <c r="E178" s="160"/>
      <c r="P178" s="21"/>
    </row>
    <row r="179" spans="1:16" s="52" customFormat="1">
      <c r="A179" s="160"/>
      <c r="C179" s="108"/>
      <c r="D179" s="160"/>
      <c r="E179" s="160"/>
      <c r="P179" s="21"/>
    </row>
    <row r="180" spans="1:16" s="52" customFormat="1">
      <c r="A180" s="160"/>
      <c r="C180" s="108"/>
      <c r="D180" s="160"/>
      <c r="E180" s="160"/>
      <c r="P180" s="21"/>
    </row>
    <row r="181" spans="1:16" s="52" customFormat="1">
      <c r="A181" s="160"/>
      <c r="C181" s="108"/>
      <c r="D181" s="160"/>
      <c r="E181" s="160"/>
      <c r="P181" s="21"/>
    </row>
    <row r="182" spans="1:16" s="52" customFormat="1">
      <c r="A182" s="160"/>
      <c r="C182" s="108"/>
      <c r="D182" s="160"/>
      <c r="E182" s="160"/>
      <c r="P182" s="21"/>
    </row>
    <row r="183" spans="1:16" s="52" customFormat="1">
      <c r="A183" s="160"/>
      <c r="C183" s="108"/>
      <c r="D183" s="160"/>
      <c r="E183" s="160"/>
      <c r="P183" s="21"/>
    </row>
    <row r="184" spans="1:16" s="52" customFormat="1">
      <c r="A184" s="160"/>
      <c r="C184" s="108"/>
      <c r="D184" s="160"/>
      <c r="E184" s="160"/>
      <c r="P184" s="21"/>
    </row>
    <row r="185" spans="1:16" s="52" customFormat="1">
      <c r="A185" s="160"/>
      <c r="C185" s="108"/>
      <c r="D185" s="160"/>
      <c r="E185" s="160"/>
      <c r="P185" s="21"/>
    </row>
    <row r="186" spans="1:16" s="52" customFormat="1">
      <c r="A186" s="160"/>
      <c r="C186" s="108"/>
      <c r="D186" s="160"/>
      <c r="E186" s="160"/>
      <c r="P186" s="21"/>
    </row>
    <row r="187" spans="1:16" s="52" customFormat="1">
      <c r="A187" s="160"/>
      <c r="C187" s="108"/>
      <c r="D187" s="160"/>
      <c r="E187" s="160"/>
      <c r="P187" s="21"/>
    </row>
    <row r="188" spans="1:16" s="52" customFormat="1">
      <c r="A188" s="160"/>
      <c r="C188" s="108"/>
      <c r="D188" s="160"/>
      <c r="E188" s="160"/>
      <c r="P188" s="21"/>
    </row>
    <row r="189" spans="1:16" s="52" customFormat="1">
      <c r="A189" s="160"/>
      <c r="C189" s="108"/>
      <c r="D189" s="160"/>
      <c r="E189" s="160"/>
      <c r="P189" s="21"/>
    </row>
    <row r="190" spans="1:16" s="52" customFormat="1">
      <c r="A190" s="160"/>
      <c r="C190" s="108"/>
      <c r="D190" s="160"/>
      <c r="E190" s="160"/>
      <c r="P190" s="21"/>
    </row>
    <row r="191" spans="1:16" s="52" customFormat="1">
      <c r="A191" s="160"/>
      <c r="C191" s="108"/>
      <c r="D191" s="160"/>
      <c r="E191" s="160"/>
      <c r="P191" s="21"/>
    </row>
    <row r="192" spans="1:16" s="52" customFormat="1">
      <c r="A192" s="160"/>
      <c r="C192" s="108"/>
      <c r="D192" s="160"/>
      <c r="E192" s="160"/>
      <c r="P192" s="21"/>
    </row>
    <row r="193" spans="1:16" s="52" customFormat="1">
      <c r="A193" s="160"/>
      <c r="C193" s="108"/>
      <c r="D193" s="160"/>
      <c r="E193" s="160"/>
      <c r="P193" s="21"/>
    </row>
    <row r="194" spans="1:16" s="52" customFormat="1">
      <c r="A194" s="160"/>
      <c r="C194" s="108"/>
      <c r="D194" s="160"/>
      <c r="E194" s="160"/>
      <c r="P194" s="21"/>
    </row>
    <row r="195" spans="1:16" s="52" customFormat="1">
      <c r="A195" s="160"/>
      <c r="C195" s="108"/>
      <c r="D195" s="160"/>
      <c r="E195" s="160"/>
      <c r="P195" s="21"/>
    </row>
    <row r="196" spans="1:16" s="52" customFormat="1">
      <c r="A196" s="160"/>
      <c r="C196" s="108"/>
      <c r="D196" s="160"/>
      <c r="E196" s="160"/>
      <c r="P196" s="21"/>
    </row>
    <row r="197" spans="1:16" s="52" customFormat="1">
      <c r="A197" s="160"/>
      <c r="C197" s="108"/>
      <c r="D197" s="160"/>
      <c r="E197" s="160"/>
      <c r="P197" s="21"/>
    </row>
    <row r="198" spans="1:16" s="52" customFormat="1">
      <c r="A198" s="160"/>
      <c r="C198" s="108"/>
      <c r="D198" s="160"/>
      <c r="E198" s="160"/>
      <c r="P198" s="21"/>
    </row>
    <row r="199" spans="1:16" s="52" customFormat="1">
      <c r="A199" s="160"/>
      <c r="C199" s="108"/>
      <c r="D199" s="160"/>
      <c r="E199" s="160"/>
      <c r="P199" s="21"/>
    </row>
    <row r="200" spans="1:16" s="52" customFormat="1">
      <c r="A200" s="160"/>
      <c r="C200" s="108"/>
      <c r="D200" s="160"/>
      <c r="E200" s="160"/>
      <c r="P200" s="21"/>
    </row>
    <row r="201" spans="1:16" s="52" customFormat="1">
      <c r="A201" s="160"/>
      <c r="C201" s="108"/>
      <c r="D201" s="160"/>
      <c r="E201" s="160"/>
      <c r="P201" s="21"/>
    </row>
    <row r="202" spans="1:16" s="52" customFormat="1">
      <c r="A202" s="160"/>
      <c r="C202" s="108"/>
      <c r="D202" s="160"/>
      <c r="E202" s="160"/>
      <c r="P202" s="21"/>
    </row>
    <row r="203" spans="1:16" s="52" customFormat="1">
      <c r="A203" s="160"/>
      <c r="C203" s="108"/>
      <c r="D203" s="160"/>
      <c r="E203" s="160"/>
      <c r="P203" s="21"/>
    </row>
    <row r="204" spans="1:16" s="52" customFormat="1">
      <c r="A204" s="160"/>
      <c r="C204" s="108"/>
      <c r="D204" s="160"/>
      <c r="E204" s="160"/>
      <c r="P204" s="21"/>
    </row>
    <row r="205" spans="1:16" s="52" customFormat="1">
      <c r="A205" s="160"/>
      <c r="C205" s="108"/>
      <c r="D205" s="160"/>
      <c r="E205" s="160"/>
      <c r="P205" s="21"/>
    </row>
    <row r="206" spans="1:16" s="52" customFormat="1">
      <c r="A206" s="160"/>
      <c r="C206" s="108"/>
      <c r="D206" s="160"/>
      <c r="E206" s="160"/>
      <c r="P206" s="21"/>
    </row>
    <row r="207" spans="1:16" s="52" customFormat="1">
      <c r="A207" s="160"/>
      <c r="C207" s="108"/>
      <c r="D207" s="160"/>
      <c r="E207" s="160"/>
      <c r="P207" s="21"/>
    </row>
    <row r="208" spans="1:16" s="52" customFormat="1">
      <c r="A208" s="160"/>
      <c r="C208" s="108"/>
      <c r="D208" s="160"/>
      <c r="E208" s="160"/>
      <c r="P208" s="21"/>
    </row>
    <row r="209" spans="1:16" s="52" customFormat="1">
      <c r="A209" s="160"/>
      <c r="C209" s="108"/>
      <c r="D209" s="160"/>
      <c r="E209" s="160"/>
      <c r="P209" s="21"/>
    </row>
    <row r="210" spans="1:16" s="52" customFormat="1">
      <c r="A210" s="160"/>
      <c r="C210" s="108"/>
      <c r="D210" s="160"/>
      <c r="E210" s="160"/>
      <c r="P210" s="21"/>
    </row>
    <row r="211" spans="1:16" s="52" customFormat="1">
      <c r="A211" s="160"/>
      <c r="C211" s="108"/>
      <c r="D211" s="160"/>
      <c r="E211" s="160"/>
      <c r="P211" s="21"/>
    </row>
    <row r="212" spans="1:16" s="52" customFormat="1">
      <c r="A212" s="160"/>
      <c r="C212" s="108"/>
      <c r="D212" s="160"/>
      <c r="E212" s="160"/>
      <c r="P212" s="21"/>
    </row>
  </sheetData>
  <sheetProtection algorithmName="SHA-512" hashValue="Awr6Q+EGXUlRcMVxLsVbhMayLLoHJcQsIDXmWMjUA7gNhJBRRDa3bJXih5FpZ4NsftYmlpUyd7YpoukMAb0+Cg==" saltValue="b7YseuOTMkmrnddeh8dNQQ==" spinCount="100000" sheet="1" objects="1" scenarios="1"/>
  <mergeCells count="20">
    <mergeCell ref="B33:E33"/>
    <mergeCell ref="B7:E7"/>
    <mergeCell ref="B8:E8"/>
    <mergeCell ref="B9:E9"/>
    <mergeCell ref="B10:E10"/>
    <mergeCell ref="B11:E11"/>
    <mergeCell ref="B22:E22"/>
    <mergeCell ref="B24:E24"/>
    <mergeCell ref="B25:E25"/>
    <mergeCell ref="B26:E26"/>
    <mergeCell ref="B27:E27"/>
    <mergeCell ref="B28:E28"/>
    <mergeCell ref="A1:P1"/>
    <mergeCell ref="A4:A5"/>
    <mergeCell ref="B4:B5"/>
    <mergeCell ref="C4:C5"/>
    <mergeCell ref="D4:E4"/>
    <mergeCell ref="F4:F5"/>
    <mergeCell ref="G4:O4"/>
    <mergeCell ref="P4:P5"/>
  </mergeCells>
  <pageMargins left="0.31496062992125984" right="0.31496062992125984" top="0.94488188976377963" bottom="0.55118110236220474" header="0.51181102362204722" footer="0.31496062992125984"/>
  <pageSetup paperSize="9" scale="56" fitToHeight="0" orientation="landscape" horizontalDpi="4294967294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  <rowBreaks count="4" manualBreakCount="4">
    <brk id="28" max="15" man="1"/>
    <brk id="46" max="15" man="1"/>
    <brk id="63" max="15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</vt:lpstr>
      <vt:lpstr>Zał.1!Obszar_wydruku</vt:lpstr>
      <vt:lpstr>Zał.2!Obszar_wydruku</vt:lpstr>
      <vt:lpstr>Zał.1!Tytuły_wydruku</vt:lpstr>
      <vt:lpstr>Zał.2!Tytuły_wydruku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2020-11-20T06:59:38Z</dcterms:modified>
</cp:coreProperties>
</file>