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240" yWindow="105" windowWidth="14805" windowHeight="8010" activeTab="1"/>
  </bookViews>
  <sheets>
    <sheet name="Zał.1" sheetId="39" r:id="rId1"/>
    <sheet name="Zał.2" sheetId="33" r:id="rId2"/>
  </sheets>
  <externalReferences>
    <externalReference r:id="rId3"/>
    <externalReference r:id="rId4"/>
    <externalReference r:id="rId5"/>
    <externalReference r:id="rId6"/>
  </externalReferences>
  <definedNames>
    <definedName name="IdWzor" localSheetId="0">[1]DaneZrodlowe!$N$3</definedName>
    <definedName name="IdWzor">[2]DaneZrodlowe!$N$3</definedName>
    <definedName name="KwartalRb">[3]definicja!$B$5</definedName>
    <definedName name="_xlnm.Print_Area" localSheetId="0">Zał.1!$A$1:$T$110</definedName>
    <definedName name="_xlnm.Print_Area" localSheetId="1">Zał.2!$A$1:$P$86</definedName>
    <definedName name="Ostatni_rok_analizy" localSheetId="0">[1]WPF_Analiza!$M$1</definedName>
    <definedName name="Ostatni_rok_analizy">[4]WPF_Analiza!$L$1</definedName>
    <definedName name="Rok_bazowy">[3]DaneZrodlowe!$O$1</definedName>
    <definedName name="RokBazowy" localSheetId="0">[1]DaneZrodlowe!$N$1</definedName>
    <definedName name="RokBazowy">[4]DaneZrodlowe!$N$1</definedName>
    <definedName name="RokMaxProg" localSheetId="0">[1]DaneZrodlowe!$N$2</definedName>
    <definedName name="RokMaxProg">[4]DaneZrodlowe!$Q$1</definedName>
    <definedName name="RokRb">[3]definicja!$B$4</definedName>
    <definedName name="_xlnm.Print_Titles" localSheetId="0">Zał.1!$A:$B,Zał.1!$2:$3</definedName>
    <definedName name="_xlnm.Print_Titles" localSheetId="1">Zał.2!$4:$5</definedName>
    <definedName name="version" localSheetId="0">[1]definicja!$D$1</definedName>
    <definedName name="version">[4]definicja!$D$1</definedName>
    <definedName name="WydatkiPar">[3]definicja!$H$5</definedName>
    <definedName name="Z_9360F695_77C0_4418_82C5_829A762C44E9_.wvu.Cols" localSheetId="0" hidden="1">Zał.1!#REF!,Zał.1!#REF!</definedName>
    <definedName name="Z_9360F695_77C0_4418_82C5_829A762C44E9_.wvu.FilterData" localSheetId="0" hidden="1">Zał.1!#REF!</definedName>
    <definedName name="Z_9360F695_77C0_4418_82C5_829A762C44E9_.wvu.PrintArea" localSheetId="0" hidden="1">Zał.1!$A$2:$T$110</definedName>
    <definedName name="Z_9360F695_77C0_4418_82C5_829A762C44E9_.wvu.PrintTitles" localSheetId="0" hidden="1">Zał.1!$A:$B,Zał.1!$2:$3</definedName>
  </definedNames>
  <calcPr calcId="152511"/>
</workbook>
</file>

<file path=xl/calcChain.xml><?xml version="1.0" encoding="utf-8"?>
<calcChain xmlns="http://schemas.openxmlformats.org/spreadsheetml/2006/main">
  <c r="T110" i="39" l="1"/>
  <c r="S110" i="39"/>
  <c r="R110" i="39"/>
  <c r="Q110" i="39"/>
  <c r="P110" i="39"/>
  <c r="O110" i="39"/>
  <c r="N110" i="39"/>
  <c r="M110" i="39"/>
  <c r="L110" i="39"/>
  <c r="K110" i="39"/>
  <c r="J110" i="39"/>
  <c r="I110" i="39"/>
  <c r="H110" i="39"/>
  <c r="G110" i="39"/>
  <c r="T109" i="39"/>
  <c r="S109" i="39"/>
  <c r="R109" i="39"/>
  <c r="Q109" i="39"/>
  <c r="P109" i="39"/>
  <c r="O109" i="39"/>
  <c r="N109" i="39"/>
  <c r="M109" i="39"/>
  <c r="L109" i="39"/>
  <c r="K109" i="39"/>
  <c r="J109" i="39"/>
  <c r="I109" i="39"/>
  <c r="H109" i="39"/>
  <c r="G109" i="39"/>
  <c r="T108" i="39"/>
  <c r="S108" i="39"/>
  <c r="R108" i="39"/>
  <c r="Q108" i="39"/>
  <c r="P108" i="39"/>
  <c r="O108" i="39"/>
  <c r="N108" i="39"/>
  <c r="M108" i="39"/>
  <c r="L108" i="39"/>
  <c r="K108" i="39"/>
  <c r="J108" i="39"/>
  <c r="I108" i="39"/>
  <c r="H108" i="39"/>
  <c r="G108" i="39"/>
  <c r="F108" i="39"/>
  <c r="E108" i="39"/>
  <c r="D108" i="39"/>
  <c r="C108" i="39"/>
  <c r="T106" i="39"/>
  <c r="S106" i="39"/>
  <c r="R106" i="39"/>
  <c r="Q106" i="39"/>
  <c r="P106" i="39"/>
  <c r="O106" i="39"/>
  <c r="N106" i="39"/>
  <c r="M106" i="39"/>
  <c r="L106" i="39"/>
  <c r="K106" i="39"/>
  <c r="J106" i="39"/>
  <c r="I106" i="39"/>
  <c r="H106" i="39"/>
  <c r="G106" i="39"/>
  <c r="F106" i="39"/>
  <c r="E106" i="39"/>
  <c r="D106" i="39"/>
  <c r="C106" i="39"/>
  <c r="T105" i="39"/>
  <c r="S105" i="39"/>
  <c r="R105" i="39"/>
  <c r="Q105" i="39"/>
  <c r="P105" i="39"/>
  <c r="O105" i="39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T104" i="39"/>
  <c r="S104" i="39"/>
  <c r="R104" i="39"/>
  <c r="Q104" i="39"/>
  <c r="P104" i="39"/>
  <c r="O104" i="39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T102" i="39"/>
  <c r="S102" i="39"/>
  <c r="R102" i="39"/>
  <c r="Q102" i="39"/>
  <c r="P102" i="39"/>
  <c r="O102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T101" i="39"/>
  <c r="S101" i="39"/>
  <c r="R101" i="39"/>
  <c r="Q101" i="39"/>
  <c r="P101" i="39"/>
  <c r="O101" i="39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T100" i="39"/>
  <c r="S100" i="39"/>
  <c r="R100" i="39"/>
  <c r="Q100" i="39"/>
  <c r="P100" i="39"/>
  <c r="O100" i="39"/>
  <c r="N100" i="39"/>
  <c r="M100" i="39"/>
  <c r="L100" i="39"/>
  <c r="K100" i="39"/>
  <c r="J100" i="39"/>
  <c r="I100" i="39"/>
  <c r="H100" i="39"/>
  <c r="G100" i="39"/>
  <c r="F100" i="39"/>
  <c r="E100" i="39"/>
  <c r="D100" i="39"/>
  <c r="C100" i="39"/>
  <c r="T99" i="39"/>
  <c r="S99" i="39"/>
  <c r="R99" i="39"/>
  <c r="Q99" i="39"/>
  <c r="P99" i="39"/>
  <c r="O99" i="39"/>
  <c r="N99" i="39"/>
  <c r="M99" i="39"/>
  <c r="L99" i="39"/>
  <c r="K99" i="39"/>
  <c r="J99" i="39"/>
  <c r="I99" i="39"/>
  <c r="H99" i="39"/>
  <c r="G99" i="39"/>
  <c r="F99" i="39"/>
  <c r="E99" i="39"/>
  <c r="D99" i="39"/>
  <c r="C99" i="39"/>
  <c r="T98" i="39"/>
  <c r="S98" i="39"/>
  <c r="R98" i="39"/>
  <c r="Q98" i="39"/>
  <c r="P98" i="39"/>
  <c r="O98" i="39"/>
  <c r="N98" i="39"/>
  <c r="M98" i="39"/>
  <c r="L98" i="39"/>
  <c r="K98" i="39"/>
  <c r="J98" i="39"/>
  <c r="I98" i="39"/>
  <c r="H98" i="39"/>
  <c r="G98" i="39"/>
  <c r="F98" i="39"/>
  <c r="E98" i="39"/>
  <c r="D98" i="39"/>
  <c r="C98" i="39"/>
  <c r="T97" i="39"/>
  <c r="S97" i="39"/>
  <c r="R97" i="39"/>
  <c r="Q97" i="39"/>
  <c r="P97" i="39"/>
  <c r="O97" i="39"/>
  <c r="N97" i="39"/>
  <c r="M97" i="39"/>
  <c r="L97" i="39"/>
  <c r="K97" i="39"/>
  <c r="J97" i="39"/>
  <c r="I97" i="39"/>
  <c r="H97" i="39"/>
  <c r="G97" i="39"/>
  <c r="F97" i="39"/>
  <c r="E97" i="39"/>
  <c r="D97" i="39"/>
  <c r="C97" i="39"/>
  <c r="T96" i="39"/>
  <c r="S96" i="39"/>
  <c r="R96" i="39"/>
  <c r="Q96" i="39"/>
  <c r="P96" i="39"/>
  <c r="O96" i="39"/>
  <c r="N96" i="39"/>
  <c r="M96" i="39"/>
  <c r="L96" i="39"/>
  <c r="K96" i="39"/>
  <c r="J96" i="39"/>
  <c r="I96" i="39"/>
  <c r="H96" i="39"/>
  <c r="G96" i="39"/>
  <c r="F96" i="39"/>
  <c r="E96" i="39"/>
  <c r="D96" i="39"/>
  <c r="C96" i="39"/>
  <c r="T95" i="39"/>
  <c r="S95" i="39"/>
  <c r="R95" i="39"/>
  <c r="Q95" i="39"/>
  <c r="P95" i="39"/>
  <c r="O95" i="39"/>
  <c r="N95" i="39"/>
  <c r="M95" i="39"/>
  <c r="L95" i="39"/>
  <c r="K95" i="39"/>
  <c r="J95" i="39"/>
  <c r="I95" i="39"/>
  <c r="H95" i="39"/>
  <c r="G95" i="39"/>
  <c r="F95" i="39"/>
  <c r="E95" i="39"/>
  <c r="D95" i="39"/>
  <c r="C95" i="39"/>
  <c r="T94" i="39"/>
  <c r="S94" i="39"/>
  <c r="R94" i="39"/>
  <c r="Q94" i="39"/>
  <c r="P94" i="39"/>
  <c r="O94" i="39"/>
  <c r="N94" i="39"/>
  <c r="M94" i="39"/>
  <c r="L94" i="39"/>
  <c r="K94" i="39"/>
  <c r="J94" i="39"/>
  <c r="I94" i="39"/>
  <c r="H94" i="39"/>
  <c r="G94" i="39"/>
  <c r="F94" i="39"/>
  <c r="E94" i="39"/>
  <c r="D94" i="39"/>
  <c r="C94" i="39"/>
  <c r="T93" i="39"/>
  <c r="S93" i="39"/>
  <c r="R93" i="39"/>
  <c r="Q93" i="39"/>
  <c r="P93" i="39"/>
  <c r="O93" i="39"/>
  <c r="N93" i="39"/>
  <c r="M93" i="39"/>
  <c r="L93" i="39"/>
  <c r="K93" i="39"/>
  <c r="J93" i="39"/>
  <c r="I93" i="39"/>
  <c r="H93" i="39"/>
  <c r="G93" i="39"/>
  <c r="F93" i="39"/>
  <c r="E93" i="39"/>
  <c r="D93" i="39"/>
  <c r="C93" i="39"/>
  <c r="T92" i="39"/>
  <c r="S92" i="39"/>
  <c r="R92" i="39"/>
  <c r="Q92" i="39"/>
  <c r="P92" i="39"/>
  <c r="O92" i="39"/>
  <c r="N92" i="39"/>
  <c r="M92" i="39"/>
  <c r="L92" i="39"/>
  <c r="K92" i="39"/>
  <c r="J92" i="39"/>
  <c r="I92" i="39"/>
  <c r="H92" i="39"/>
  <c r="G92" i="39"/>
  <c r="F92" i="39"/>
  <c r="E92" i="39"/>
  <c r="D92" i="39"/>
  <c r="C92" i="39"/>
  <c r="T91" i="39"/>
  <c r="S91" i="39"/>
  <c r="R91" i="39"/>
  <c r="Q91" i="39"/>
  <c r="P91" i="39"/>
  <c r="O91" i="39"/>
  <c r="N91" i="39"/>
  <c r="M91" i="39"/>
  <c r="L91" i="39"/>
  <c r="K91" i="39"/>
  <c r="J91" i="39"/>
  <c r="I91" i="39"/>
  <c r="H91" i="39"/>
  <c r="G91" i="39"/>
  <c r="F91" i="39"/>
  <c r="E91" i="39"/>
  <c r="D91" i="39"/>
  <c r="C91" i="39"/>
  <c r="T90" i="39"/>
  <c r="S90" i="39"/>
  <c r="R90" i="39"/>
  <c r="Q90" i="39"/>
  <c r="P90" i="39"/>
  <c r="O90" i="39"/>
  <c r="N90" i="39"/>
  <c r="M90" i="39"/>
  <c r="L90" i="39"/>
  <c r="K90" i="39"/>
  <c r="J90" i="39"/>
  <c r="I90" i="39"/>
  <c r="H90" i="39"/>
  <c r="G90" i="39"/>
  <c r="F90" i="39"/>
  <c r="E90" i="39"/>
  <c r="D90" i="39"/>
  <c r="C90" i="39"/>
  <c r="T89" i="39"/>
  <c r="S89" i="39"/>
  <c r="R89" i="39"/>
  <c r="Q89" i="39"/>
  <c r="P89" i="39"/>
  <c r="O89" i="39"/>
  <c r="N89" i="39"/>
  <c r="M89" i="39"/>
  <c r="L89" i="39"/>
  <c r="K89" i="39"/>
  <c r="J89" i="39"/>
  <c r="I89" i="39"/>
  <c r="H89" i="39"/>
  <c r="G89" i="39"/>
  <c r="F89" i="39"/>
  <c r="E89" i="39"/>
  <c r="D89" i="39"/>
  <c r="C89" i="39"/>
  <c r="T88" i="39"/>
  <c r="S88" i="39"/>
  <c r="R88" i="39"/>
  <c r="Q88" i="39"/>
  <c r="P88" i="39"/>
  <c r="O88" i="39"/>
  <c r="N88" i="39"/>
  <c r="M88" i="39"/>
  <c r="L88" i="39"/>
  <c r="K88" i="39"/>
  <c r="J88" i="39"/>
  <c r="I88" i="39"/>
  <c r="H88" i="39"/>
  <c r="G88" i="39"/>
  <c r="F88" i="39"/>
  <c r="E88" i="39"/>
  <c r="D88" i="39"/>
  <c r="C88" i="39"/>
  <c r="T87" i="39"/>
  <c r="S87" i="39"/>
  <c r="R87" i="39"/>
  <c r="Q87" i="39"/>
  <c r="P87" i="39"/>
  <c r="O87" i="39"/>
  <c r="N87" i="39"/>
  <c r="M87" i="39"/>
  <c r="L87" i="39"/>
  <c r="K87" i="39"/>
  <c r="J87" i="39"/>
  <c r="I87" i="39"/>
  <c r="H87" i="39"/>
  <c r="G87" i="39"/>
  <c r="F87" i="39"/>
  <c r="E87" i="39"/>
  <c r="D87" i="39"/>
  <c r="C87" i="39"/>
  <c r="T86" i="39"/>
  <c r="S86" i="39"/>
  <c r="R86" i="39"/>
  <c r="Q86" i="39"/>
  <c r="P86" i="39"/>
  <c r="O86" i="39"/>
  <c r="N86" i="39"/>
  <c r="M86" i="39"/>
  <c r="L86" i="39"/>
  <c r="K86" i="39"/>
  <c r="J86" i="39"/>
  <c r="I86" i="39"/>
  <c r="H86" i="39"/>
  <c r="G86" i="39"/>
  <c r="F86" i="39"/>
  <c r="E86" i="39"/>
  <c r="D86" i="39"/>
  <c r="C86" i="39"/>
  <c r="T85" i="39"/>
  <c r="S85" i="39"/>
  <c r="R85" i="39"/>
  <c r="Q85" i="39"/>
  <c r="P85" i="39"/>
  <c r="O85" i="39"/>
  <c r="N85" i="39"/>
  <c r="M85" i="39"/>
  <c r="L85" i="39"/>
  <c r="K85" i="39"/>
  <c r="J85" i="39"/>
  <c r="I85" i="39"/>
  <c r="H85" i="39"/>
  <c r="G85" i="39"/>
  <c r="F85" i="39"/>
  <c r="E85" i="39"/>
  <c r="D85" i="39"/>
  <c r="C85" i="39"/>
  <c r="T83" i="39"/>
  <c r="S83" i="39"/>
  <c r="R83" i="39"/>
  <c r="Q83" i="39"/>
  <c r="P83" i="39"/>
  <c r="O83" i="39"/>
  <c r="N83" i="39"/>
  <c r="M83" i="39"/>
  <c r="L83" i="39"/>
  <c r="K83" i="39"/>
  <c r="J83" i="39"/>
  <c r="I83" i="39"/>
  <c r="H83" i="39"/>
  <c r="G83" i="39"/>
  <c r="F83" i="39"/>
  <c r="E83" i="39"/>
  <c r="D83" i="39"/>
  <c r="C83" i="39"/>
  <c r="T82" i="39"/>
  <c r="S82" i="39"/>
  <c r="R82" i="39"/>
  <c r="Q82" i="39"/>
  <c r="P82" i="39"/>
  <c r="O82" i="39"/>
  <c r="N82" i="39"/>
  <c r="M82" i="39"/>
  <c r="L82" i="39"/>
  <c r="K82" i="39"/>
  <c r="J82" i="39"/>
  <c r="I82" i="39"/>
  <c r="H82" i="39"/>
  <c r="G82" i="39"/>
  <c r="F82" i="39"/>
  <c r="E82" i="39"/>
  <c r="D82" i="39"/>
  <c r="C82" i="39"/>
  <c r="T81" i="39"/>
  <c r="S81" i="39"/>
  <c r="R81" i="39"/>
  <c r="Q81" i="39"/>
  <c r="P81" i="39"/>
  <c r="O81" i="39"/>
  <c r="N81" i="39"/>
  <c r="M81" i="39"/>
  <c r="L81" i="39"/>
  <c r="K81" i="39"/>
  <c r="J81" i="39"/>
  <c r="I81" i="39"/>
  <c r="H81" i="39"/>
  <c r="G81" i="39"/>
  <c r="F81" i="39"/>
  <c r="E81" i="39"/>
  <c r="D81" i="39"/>
  <c r="C81" i="39"/>
  <c r="T80" i="39"/>
  <c r="S80" i="39"/>
  <c r="R80" i="39"/>
  <c r="Q80" i="39"/>
  <c r="P80" i="39"/>
  <c r="O80" i="39"/>
  <c r="N80" i="39"/>
  <c r="M80" i="39"/>
  <c r="L80" i="39"/>
  <c r="K80" i="39"/>
  <c r="J80" i="39"/>
  <c r="I80" i="39"/>
  <c r="H80" i="39"/>
  <c r="G80" i="39"/>
  <c r="F80" i="39"/>
  <c r="E80" i="39"/>
  <c r="D80" i="39"/>
  <c r="C80" i="39"/>
  <c r="T79" i="39"/>
  <c r="S79" i="39"/>
  <c r="R79" i="39"/>
  <c r="Q79" i="39"/>
  <c r="P79" i="39"/>
  <c r="O79" i="39"/>
  <c r="N79" i="39"/>
  <c r="M79" i="39"/>
  <c r="L79" i="39"/>
  <c r="K79" i="39"/>
  <c r="J79" i="39"/>
  <c r="I79" i="39"/>
  <c r="H79" i="39"/>
  <c r="G79" i="39"/>
  <c r="F79" i="39"/>
  <c r="E79" i="39"/>
  <c r="D79" i="39"/>
  <c r="C79" i="39"/>
  <c r="T78" i="39"/>
  <c r="S78" i="39"/>
  <c r="R78" i="39"/>
  <c r="Q78" i="39"/>
  <c r="P78" i="39"/>
  <c r="O78" i="39"/>
  <c r="N78" i="39"/>
  <c r="M78" i="39"/>
  <c r="L78" i="39"/>
  <c r="K78" i="39"/>
  <c r="J78" i="39"/>
  <c r="I78" i="39"/>
  <c r="H78" i="39"/>
  <c r="G78" i="39"/>
  <c r="F78" i="39"/>
  <c r="E78" i="39"/>
  <c r="D78" i="39"/>
  <c r="C78" i="39"/>
  <c r="T77" i="39"/>
  <c r="S77" i="39"/>
  <c r="R77" i="39"/>
  <c r="Q77" i="39"/>
  <c r="P77" i="39"/>
  <c r="O77" i="39"/>
  <c r="N77" i="39"/>
  <c r="M77" i="39"/>
  <c r="L77" i="39"/>
  <c r="K77" i="39"/>
  <c r="J77" i="39"/>
  <c r="I77" i="39"/>
  <c r="H77" i="39"/>
  <c r="G77" i="39"/>
  <c r="F77" i="39"/>
  <c r="E77" i="39"/>
  <c r="D77" i="39"/>
  <c r="C77" i="39"/>
  <c r="T76" i="39"/>
  <c r="S76" i="39"/>
  <c r="R76" i="39"/>
  <c r="Q76" i="39"/>
  <c r="P76" i="39"/>
  <c r="O76" i="39"/>
  <c r="N76" i="39"/>
  <c r="M76" i="39"/>
  <c r="L76" i="39"/>
  <c r="K76" i="39"/>
  <c r="J76" i="39"/>
  <c r="I76" i="39"/>
  <c r="H76" i="39"/>
  <c r="G76" i="39"/>
  <c r="F76" i="39"/>
  <c r="E76" i="39"/>
  <c r="D76" i="39"/>
  <c r="C76" i="39"/>
  <c r="T75" i="39"/>
  <c r="S75" i="39"/>
  <c r="R75" i="39"/>
  <c r="Q75" i="39"/>
  <c r="P75" i="39"/>
  <c r="O75" i="39"/>
  <c r="N75" i="39"/>
  <c r="M75" i="39"/>
  <c r="L75" i="39"/>
  <c r="K75" i="39"/>
  <c r="J75" i="39"/>
  <c r="I75" i="39"/>
  <c r="H75" i="39"/>
  <c r="G75" i="39"/>
  <c r="F75" i="39"/>
  <c r="E75" i="39"/>
  <c r="D75" i="39"/>
  <c r="C75" i="39"/>
  <c r="T74" i="39"/>
  <c r="S74" i="39"/>
  <c r="R74" i="39"/>
  <c r="Q74" i="39"/>
  <c r="P74" i="39"/>
  <c r="O74" i="39"/>
  <c r="N74" i="39"/>
  <c r="M74" i="39"/>
  <c r="L74" i="39"/>
  <c r="K74" i="39"/>
  <c r="J74" i="39"/>
  <c r="I74" i="39"/>
  <c r="H74" i="39"/>
  <c r="G74" i="39"/>
  <c r="F74" i="39"/>
  <c r="E74" i="39"/>
  <c r="D74" i="39"/>
  <c r="C74" i="39"/>
  <c r="T73" i="39"/>
  <c r="S73" i="39"/>
  <c r="R73" i="39"/>
  <c r="Q73" i="39"/>
  <c r="P73" i="39"/>
  <c r="O73" i="39"/>
  <c r="N73" i="39"/>
  <c r="M73" i="39"/>
  <c r="L73" i="39"/>
  <c r="K73" i="39"/>
  <c r="J73" i="39"/>
  <c r="I73" i="39"/>
  <c r="H73" i="39"/>
  <c r="G73" i="39"/>
  <c r="F73" i="39"/>
  <c r="E73" i="39"/>
  <c r="D73" i="39"/>
  <c r="C73" i="39"/>
  <c r="T72" i="39"/>
  <c r="S72" i="39"/>
  <c r="R72" i="39"/>
  <c r="Q72" i="39"/>
  <c r="P72" i="39"/>
  <c r="O72" i="39"/>
  <c r="N72" i="39"/>
  <c r="M72" i="39"/>
  <c r="L72" i="39"/>
  <c r="K72" i="39"/>
  <c r="J72" i="39"/>
  <c r="I72" i="39"/>
  <c r="H72" i="39"/>
  <c r="G72" i="39"/>
  <c r="F72" i="39"/>
  <c r="E72" i="39"/>
  <c r="D72" i="39"/>
  <c r="C72" i="39"/>
  <c r="T68" i="39"/>
  <c r="S68" i="39"/>
  <c r="R68" i="39"/>
  <c r="Q68" i="39"/>
  <c r="P68" i="39"/>
  <c r="O68" i="39"/>
  <c r="N68" i="39"/>
  <c r="M68" i="39"/>
  <c r="L68" i="39"/>
  <c r="K68" i="39"/>
  <c r="J68" i="39"/>
  <c r="I68" i="39"/>
  <c r="H68" i="39"/>
  <c r="G68" i="39"/>
  <c r="T67" i="39"/>
  <c r="S67" i="39"/>
  <c r="R67" i="39"/>
  <c r="Q67" i="39"/>
  <c r="P67" i="39"/>
  <c r="O67" i="39"/>
  <c r="N67" i="39"/>
  <c r="M67" i="39"/>
  <c r="L67" i="39"/>
  <c r="K67" i="39"/>
  <c r="J67" i="39"/>
  <c r="I67" i="39"/>
  <c r="H67" i="39"/>
  <c r="G67" i="39"/>
  <c r="T64" i="39"/>
  <c r="S64" i="39"/>
  <c r="R64" i="39"/>
  <c r="Q64" i="39"/>
  <c r="P64" i="39"/>
  <c r="O64" i="39"/>
  <c r="N64" i="39"/>
  <c r="M64" i="39"/>
  <c r="L64" i="39"/>
  <c r="K64" i="39"/>
  <c r="J64" i="39"/>
  <c r="I64" i="39"/>
  <c r="H64" i="39"/>
  <c r="G64" i="39"/>
  <c r="T63" i="39"/>
  <c r="S63" i="39"/>
  <c r="R63" i="39"/>
  <c r="Q63" i="39"/>
  <c r="P63" i="39"/>
  <c r="O63" i="39"/>
  <c r="N63" i="39"/>
  <c r="M63" i="39"/>
  <c r="L63" i="39"/>
  <c r="K63" i="39"/>
  <c r="J63" i="39"/>
  <c r="I63" i="39"/>
  <c r="H63" i="39"/>
  <c r="G63" i="39"/>
  <c r="T62" i="39"/>
  <c r="S62" i="39"/>
  <c r="R62" i="39"/>
  <c r="Q62" i="39"/>
  <c r="P62" i="39"/>
  <c r="O62" i="39"/>
  <c r="N62" i="39"/>
  <c r="M62" i="39"/>
  <c r="L62" i="39"/>
  <c r="K62" i="39"/>
  <c r="J62" i="39"/>
  <c r="I62" i="39"/>
  <c r="H62" i="39"/>
  <c r="G62" i="39"/>
  <c r="F62" i="39"/>
  <c r="E62" i="39"/>
  <c r="D62" i="39"/>
  <c r="C62" i="39"/>
  <c r="T61" i="39"/>
  <c r="S61" i="39"/>
  <c r="R61" i="39"/>
  <c r="Q61" i="39"/>
  <c r="P61" i="39"/>
  <c r="O61" i="39"/>
  <c r="N61" i="39"/>
  <c r="M61" i="39"/>
  <c r="L61" i="39"/>
  <c r="K61" i="39"/>
  <c r="J61" i="39"/>
  <c r="I61" i="39"/>
  <c r="H61" i="39"/>
  <c r="G61" i="39"/>
  <c r="F61" i="39"/>
  <c r="E61" i="39"/>
  <c r="D61" i="39"/>
  <c r="C61" i="39"/>
  <c r="T60" i="39"/>
  <c r="S60" i="39"/>
  <c r="R60" i="39"/>
  <c r="Q60" i="39"/>
  <c r="P60" i="39"/>
  <c r="O60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T59" i="39"/>
  <c r="S59" i="39"/>
  <c r="R59" i="39"/>
  <c r="Q59" i="39"/>
  <c r="P59" i="39"/>
  <c r="O59" i="39"/>
  <c r="N59" i="39"/>
  <c r="M59" i="39"/>
  <c r="L59" i="39"/>
  <c r="K59" i="39"/>
  <c r="J59" i="39"/>
  <c r="I59" i="39"/>
  <c r="H59" i="39"/>
  <c r="G59" i="39"/>
  <c r="T58" i="39"/>
  <c r="S58" i="39"/>
  <c r="R58" i="39"/>
  <c r="Q58" i="39"/>
  <c r="P58" i="39"/>
  <c r="O58" i="39"/>
  <c r="N58" i="39"/>
  <c r="M58" i="39"/>
  <c r="L58" i="39"/>
  <c r="K58" i="39"/>
  <c r="J58" i="39"/>
  <c r="I58" i="39"/>
  <c r="H58" i="39"/>
  <c r="G58" i="39"/>
  <c r="T57" i="39"/>
  <c r="S57" i="39"/>
  <c r="R57" i="39"/>
  <c r="Q57" i="39"/>
  <c r="P57" i="39"/>
  <c r="P65" i="39" s="1"/>
  <c r="O57" i="39"/>
  <c r="N57" i="39"/>
  <c r="M57" i="39"/>
  <c r="L57" i="39"/>
  <c r="K57" i="39"/>
  <c r="J57" i="39"/>
  <c r="I57" i="39"/>
  <c r="H57" i="39"/>
  <c r="H65" i="39" s="1"/>
  <c r="G57" i="39"/>
  <c r="T55" i="39"/>
  <c r="S55" i="39"/>
  <c r="R55" i="39"/>
  <c r="Q55" i="39"/>
  <c r="P55" i="39"/>
  <c r="O55" i="39"/>
  <c r="N55" i="39"/>
  <c r="M55" i="39"/>
  <c r="L55" i="39"/>
  <c r="K55" i="39"/>
  <c r="J55" i="39"/>
  <c r="I55" i="39"/>
  <c r="H55" i="39"/>
  <c r="G55" i="39"/>
  <c r="F55" i="39"/>
  <c r="E55" i="39"/>
  <c r="D55" i="39"/>
  <c r="C55" i="39"/>
  <c r="T54" i="39"/>
  <c r="S54" i="39"/>
  <c r="R54" i="39"/>
  <c r="Q54" i="39"/>
  <c r="P54" i="39"/>
  <c r="O54" i="39"/>
  <c r="N54" i="39"/>
  <c r="M54" i="39"/>
  <c r="L54" i="39"/>
  <c r="K54" i="39"/>
  <c r="J54" i="39"/>
  <c r="I54" i="39"/>
  <c r="H54" i="39"/>
  <c r="G54" i="39"/>
  <c r="F54" i="39"/>
  <c r="E54" i="39"/>
  <c r="D54" i="39"/>
  <c r="C54" i="39"/>
  <c r="T52" i="39"/>
  <c r="S52" i="39"/>
  <c r="R52" i="39"/>
  <c r="Q52" i="39"/>
  <c r="P52" i="39"/>
  <c r="O52" i="39"/>
  <c r="N52" i="39"/>
  <c r="M52" i="39"/>
  <c r="L52" i="39"/>
  <c r="K52" i="39"/>
  <c r="J52" i="39"/>
  <c r="I52" i="39"/>
  <c r="H52" i="39"/>
  <c r="G52" i="39"/>
  <c r="F52" i="39"/>
  <c r="E52" i="39"/>
  <c r="D52" i="39"/>
  <c r="C52" i="39"/>
  <c r="T51" i="39"/>
  <c r="S51" i="39"/>
  <c r="R51" i="39"/>
  <c r="Q51" i="39"/>
  <c r="P51" i="39"/>
  <c r="O51" i="39"/>
  <c r="N51" i="39"/>
  <c r="M51" i="39"/>
  <c r="L51" i="39"/>
  <c r="K51" i="39"/>
  <c r="J51" i="39"/>
  <c r="I51" i="39"/>
  <c r="H51" i="39"/>
  <c r="G51" i="39"/>
  <c r="F51" i="39"/>
  <c r="E51" i="39"/>
  <c r="D51" i="39"/>
  <c r="C51" i="39"/>
  <c r="T50" i="39"/>
  <c r="S50" i="39"/>
  <c r="R50" i="39"/>
  <c r="Q50" i="39"/>
  <c r="P50" i="39"/>
  <c r="O50" i="39"/>
  <c r="N50" i="39"/>
  <c r="M50" i="39"/>
  <c r="L50" i="39"/>
  <c r="K50" i="39"/>
  <c r="J50" i="39"/>
  <c r="I50" i="39"/>
  <c r="H50" i="39"/>
  <c r="G50" i="39"/>
  <c r="F50" i="39"/>
  <c r="E50" i="39"/>
  <c r="D50" i="39"/>
  <c r="C50" i="39"/>
  <c r="T49" i="39"/>
  <c r="S49" i="39"/>
  <c r="R49" i="39"/>
  <c r="Q49" i="39"/>
  <c r="P49" i="39"/>
  <c r="O49" i="39"/>
  <c r="N49" i="39"/>
  <c r="M49" i="39"/>
  <c r="L49" i="39"/>
  <c r="K49" i="39"/>
  <c r="J49" i="39"/>
  <c r="I49" i="39"/>
  <c r="H49" i="39"/>
  <c r="G49" i="39"/>
  <c r="F49" i="39"/>
  <c r="E49" i="39"/>
  <c r="D49" i="39"/>
  <c r="C49" i="39"/>
  <c r="T48" i="39"/>
  <c r="S48" i="39"/>
  <c r="R48" i="39"/>
  <c r="Q48" i="39"/>
  <c r="P48" i="39"/>
  <c r="O48" i="39"/>
  <c r="N48" i="39"/>
  <c r="M48" i="39"/>
  <c r="L48" i="39"/>
  <c r="K48" i="39"/>
  <c r="J48" i="39"/>
  <c r="I48" i="39"/>
  <c r="H48" i="39"/>
  <c r="G48" i="39"/>
  <c r="F48" i="39"/>
  <c r="E48" i="39"/>
  <c r="D48" i="39"/>
  <c r="C48" i="39"/>
  <c r="T47" i="39"/>
  <c r="S47" i="39"/>
  <c r="R47" i="39"/>
  <c r="Q47" i="39"/>
  <c r="P47" i="39"/>
  <c r="O47" i="39"/>
  <c r="N47" i="39"/>
  <c r="M47" i="39"/>
  <c r="L47" i="39"/>
  <c r="K47" i="39"/>
  <c r="J47" i="39"/>
  <c r="I47" i="39"/>
  <c r="H47" i="39"/>
  <c r="G47" i="39"/>
  <c r="F47" i="39"/>
  <c r="E47" i="39"/>
  <c r="D47" i="39"/>
  <c r="C47" i="39"/>
  <c r="T46" i="39"/>
  <c r="S46" i="39"/>
  <c r="R46" i="39"/>
  <c r="Q46" i="39"/>
  <c r="P46" i="39"/>
  <c r="O46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T45" i="39"/>
  <c r="S45" i="39"/>
  <c r="R45" i="39"/>
  <c r="Q45" i="39"/>
  <c r="P45" i="39"/>
  <c r="O45" i="39"/>
  <c r="N45" i="39"/>
  <c r="M45" i="39"/>
  <c r="L45" i="39"/>
  <c r="K45" i="39"/>
  <c r="J45" i="39"/>
  <c r="I45" i="39"/>
  <c r="H45" i="39"/>
  <c r="G45" i="39"/>
  <c r="F45" i="39"/>
  <c r="E45" i="39"/>
  <c r="D45" i="39"/>
  <c r="C45" i="39"/>
  <c r="T44" i="39"/>
  <c r="S44" i="39"/>
  <c r="R44" i="39"/>
  <c r="Q44" i="39"/>
  <c r="P44" i="39"/>
  <c r="O44" i="39"/>
  <c r="N44" i="39"/>
  <c r="M44" i="39"/>
  <c r="L44" i="39"/>
  <c r="K44" i="39"/>
  <c r="J44" i="39"/>
  <c r="I44" i="39"/>
  <c r="H44" i="39"/>
  <c r="G44" i="39"/>
  <c r="F44" i="39"/>
  <c r="E44" i="39"/>
  <c r="D44" i="39"/>
  <c r="C44" i="39"/>
  <c r="T43" i="39"/>
  <c r="S43" i="39"/>
  <c r="R43" i="39"/>
  <c r="Q43" i="39"/>
  <c r="P43" i="39"/>
  <c r="O43" i="39"/>
  <c r="N43" i="39"/>
  <c r="M43" i="39"/>
  <c r="L43" i="39"/>
  <c r="K43" i="39"/>
  <c r="J43" i="39"/>
  <c r="I43" i="39"/>
  <c r="H43" i="39"/>
  <c r="G43" i="39"/>
  <c r="F43" i="39"/>
  <c r="E43" i="39"/>
  <c r="D43" i="39"/>
  <c r="C43" i="39"/>
  <c r="T42" i="39"/>
  <c r="S42" i="39"/>
  <c r="R42" i="39"/>
  <c r="Q42" i="39"/>
  <c r="P42" i="39"/>
  <c r="O42" i="39"/>
  <c r="N42" i="39"/>
  <c r="M42" i="39"/>
  <c r="L42" i="39"/>
  <c r="K42" i="39"/>
  <c r="J42" i="39"/>
  <c r="I42" i="39"/>
  <c r="H42" i="39"/>
  <c r="G42" i="39"/>
  <c r="F42" i="39"/>
  <c r="E42" i="39"/>
  <c r="D42" i="39"/>
  <c r="C42" i="39"/>
  <c r="T41" i="39"/>
  <c r="S41" i="39"/>
  <c r="R41" i="39"/>
  <c r="Q41" i="39"/>
  <c r="P41" i="39"/>
  <c r="O41" i="39"/>
  <c r="N41" i="39"/>
  <c r="M41" i="39"/>
  <c r="L41" i="39"/>
  <c r="K41" i="39"/>
  <c r="J41" i="39"/>
  <c r="I41" i="39"/>
  <c r="H41" i="39"/>
  <c r="G41" i="39"/>
  <c r="F41" i="39"/>
  <c r="E41" i="39"/>
  <c r="D41" i="39"/>
  <c r="C41" i="39"/>
  <c r="T40" i="39"/>
  <c r="S40" i="39"/>
  <c r="R40" i="39"/>
  <c r="Q40" i="39"/>
  <c r="P40" i="39"/>
  <c r="O40" i="39"/>
  <c r="N40" i="39"/>
  <c r="M40" i="39"/>
  <c r="L40" i="39"/>
  <c r="K40" i="39"/>
  <c r="J40" i="39"/>
  <c r="I40" i="39"/>
  <c r="H40" i="39"/>
  <c r="G40" i="39"/>
  <c r="F40" i="39"/>
  <c r="E40" i="39"/>
  <c r="D40" i="39"/>
  <c r="C40" i="39"/>
  <c r="T39" i="39"/>
  <c r="S39" i="39"/>
  <c r="R39" i="39"/>
  <c r="Q39" i="39"/>
  <c r="P39" i="39"/>
  <c r="O39" i="39"/>
  <c r="N39" i="39"/>
  <c r="M39" i="39"/>
  <c r="L39" i="39"/>
  <c r="K39" i="39"/>
  <c r="J39" i="39"/>
  <c r="I39" i="39"/>
  <c r="H39" i="39"/>
  <c r="G39" i="39"/>
  <c r="F39" i="39"/>
  <c r="E39" i="39"/>
  <c r="D39" i="39"/>
  <c r="C39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  <c r="T37" i="39"/>
  <c r="S37" i="39"/>
  <c r="R37" i="39"/>
  <c r="Q37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T36" i="39"/>
  <c r="S36" i="39"/>
  <c r="R36" i="39"/>
  <c r="Q36" i="39"/>
  <c r="P36" i="39"/>
  <c r="O36" i="39"/>
  <c r="N36" i="39"/>
  <c r="M36" i="39"/>
  <c r="L36" i="39"/>
  <c r="K36" i="39"/>
  <c r="J36" i="39"/>
  <c r="I36" i="39"/>
  <c r="H36" i="39"/>
  <c r="G36" i="39"/>
  <c r="F36" i="39"/>
  <c r="E36" i="39"/>
  <c r="D36" i="39"/>
  <c r="C36" i="39"/>
  <c r="T35" i="39"/>
  <c r="S35" i="39"/>
  <c r="R35" i="39"/>
  <c r="Q35" i="39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T34" i="39"/>
  <c r="S34" i="39"/>
  <c r="R34" i="39"/>
  <c r="Q34" i="39"/>
  <c r="P34" i="39"/>
  <c r="O34" i="39"/>
  <c r="N34" i="39"/>
  <c r="M34" i="39"/>
  <c r="L34" i="39"/>
  <c r="K34" i="39"/>
  <c r="J34" i="39"/>
  <c r="I34" i="39"/>
  <c r="H34" i="39"/>
  <c r="G34" i="39"/>
  <c r="F34" i="39"/>
  <c r="E34" i="39"/>
  <c r="D34" i="39"/>
  <c r="C34" i="39"/>
  <c r="T33" i="39"/>
  <c r="S33" i="39"/>
  <c r="R33" i="39"/>
  <c r="Q33" i="39"/>
  <c r="P33" i="39"/>
  <c r="O33" i="39"/>
  <c r="N33" i="39"/>
  <c r="M33" i="39"/>
  <c r="L33" i="39"/>
  <c r="K33" i="39"/>
  <c r="J33" i="39"/>
  <c r="I33" i="39"/>
  <c r="H33" i="39"/>
  <c r="G33" i="39"/>
  <c r="F33" i="39"/>
  <c r="E33" i="39"/>
  <c r="D33" i="39"/>
  <c r="C33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H30" i="39"/>
  <c r="G30" i="39"/>
  <c r="F30" i="39"/>
  <c r="E30" i="39"/>
  <c r="D30" i="39"/>
  <c r="C30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9" i="39"/>
  <c r="C29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H28" i="39"/>
  <c r="G28" i="39"/>
  <c r="F28" i="39"/>
  <c r="E28" i="39"/>
  <c r="D28" i="39"/>
  <c r="C28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H27" i="39"/>
  <c r="G27" i="39"/>
  <c r="F27" i="39"/>
  <c r="E27" i="39"/>
  <c r="D27" i="39"/>
  <c r="C27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H26" i="39"/>
  <c r="G26" i="39"/>
  <c r="F26" i="39"/>
  <c r="E26" i="39"/>
  <c r="D26" i="39"/>
  <c r="C26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H24" i="39"/>
  <c r="G24" i="39"/>
  <c r="F24" i="39"/>
  <c r="E24" i="39"/>
  <c r="D24" i="39"/>
  <c r="C24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H23" i="39"/>
  <c r="G23" i="39"/>
  <c r="F23" i="39"/>
  <c r="E23" i="39"/>
  <c r="D23" i="39"/>
  <c r="C23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H22" i="39"/>
  <c r="G22" i="39"/>
  <c r="F22" i="39"/>
  <c r="E22" i="39"/>
  <c r="D22" i="39"/>
  <c r="C22" i="39"/>
  <c r="T21" i="39"/>
  <c r="S21" i="39"/>
  <c r="R21" i="39"/>
  <c r="Q21" i="39"/>
  <c r="P21" i="39"/>
  <c r="O21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H19" i="39"/>
  <c r="G19" i="39"/>
  <c r="F19" i="39"/>
  <c r="E19" i="39"/>
  <c r="D19" i="39"/>
  <c r="C19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T17" i="39"/>
  <c r="S17" i="39"/>
  <c r="R17" i="39"/>
  <c r="Q17" i="39"/>
  <c r="P17" i="39"/>
  <c r="O17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T16" i="39"/>
  <c r="S16" i="39"/>
  <c r="R16" i="39"/>
  <c r="Q16" i="39"/>
  <c r="P16" i="39"/>
  <c r="O16" i="39"/>
  <c r="N16" i="39"/>
  <c r="M16" i="39"/>
  <c r="L16" i="39"/>
  <c r="K16" i="39"/>
  <c r="J16" i="39"/>
  <c r="I16" i="39"/>
  <c r="H16" i="39"/>
  <c r="G16" i="39"/>
  <c r="F16" i="39"/>
  <c r="E16" i="39"/>
  <c r="D16" i="39"/>
  <c r="C16" i="39"/>
  <c r="T15" i="39"/>
  <c r="S15" i="39"/>
  <c r="R15" i="39"/>
  <c r="Q15" i="39"/>
  <c r="P15" i="39"/>
  <c r="O15" i="39"/>
  <c r="N15" i="39"/>
  <c r="M15" i="39"/>
  <c r="L15" i="39"/>
  <c r="K15" i="39"/>
  <c r="J15" i="39"/>
  <c r="I15" i="39"/>
  <c r="H15" i="39"/>
  <c r="G15" i="39"/>
  <c r="F15" i="39"/>
  <c r="E15" i="39"/>
  <c r="D15" i="39"/>
  <c r="C15" i="39"/>
  <c r="T14" i="39"/>
  <c r="S14" i="39"/>
  <c r="R14" i="39"/>
  <c r="Q14" i="39"/>
  <c r="P14" i="39"/>
  <c r="O14" i="39"/>
  <c r="N14" i="39"/>
  <c r="M14" i="39"/>
  <c r="L14" i="39"/>
  <c r="K14" i="39"/>
  <c r="J14" i="39"/>
  <c r="I14" i="39"/>
  <c r="H14" i="39"/>
  <c r="G14" i="39"/>
  <c r="F14" i="39"/>
  <c r="E14" i="39"/>
  <c r="D14" i="39"/>
  <c r="C14" i="39"/>
  <c r="T13" i="39"/>
  <c r="S13" i="39"/>
  <c r="R13" i="39"/>
  <c r="Q13" i="39"/>
  <c r="P13" i="39"/>
  <c r="O13" i="39"/>
  <c r="N13" i="39"/>
  <c r="M13" i="39"/>
  <c r="L13" i="39"/>
  <c r="K13" i="39"/>
  <c r="J13" i="39"/>
  <c r="I13" i="39"/>
  <c r="H13" i="39"/>
  <c r="G13" i="39"/>
  <c r="F13" i="39"/>
  <c r="E13" i="39"/>
  <c r="D13" i="39"/>
  <c r="C13" i="39"/>
  <c r="T12" i="39"/>
  <c r="S12" i="39"/>
  <c r="R12" i="39"/>
  <c r="Q12" i="39"/>
  <c r="P12" i="39"/>
  <c r="O12" i="39"/>
  <c r="N12" i="39"/>
  <c r="M12" i="39"/>
  <c r="L12" i="39"/>
  <c r="K12" i="39"/>
  <c r="J12" i="39"/>
  <c r="I12" i="39"/>
  <c r="H12" i="39"/>
  <c r="G12" i="39"/>
  <c r="F12" i="39"/>
  <c r="E12" i="39"/>
  <c r="D12" i="39"/>
  <c r="C12" i="39"/>
  <c r="T11" i="39"/>
  <c r="S11" i="39"/>
  <c r="R11" i="39"/>
  <c r="Q11" i="39"/>
  <c r="P11" i="39"/>
  <c r="O11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T9" i="39"/>
  <c r="S9" i="39"/>
  <c r="R9" i="39"/>
  <c r="Q9" i="39"/>
  <c r="P9" i="39"/>
  <c r="O9" i="39"/>
  <c r="N9" i="39"/>
  <c r="M9" i="39"/>
  <c r="L9" i="39"/>
  <c r="K9" i="39"/>
  <c r="J9" i="39"/>
  <c r="I9" i="39"/>
  <c r="H9" i="39"/>
  <c r="G9" i="39"/>
  <c r="F9" i="39"/>
  <c r="E9" i="39"/>
  <c r="D9" i="39"/>
  <c r="C9" i="39"/>
  <c r="T8" i="39"/>
  <c r="S8" i="39"/>
  <c r="R8" i="39"/>
  <c r="Q8" i="39"/>
  <c r="P8" i="39"/>
  <c r="O8" i="39"/>
  <c r="N8" i="39"/>
  <c r="M8" i="39"/>
  <c r="L8" i="39"/>
  <c r="K8" i="39"/>
  <c r="J8" i="39"/>
  <c r="I8" i="39"/>
  <c r="H8" i="39"/>
  <c r="G8" i="39"/>
  <c r="F8" i="39"/>
  <c r="E8" i="39"/>
  <c r="D8" i="39"/>
  <c r="C8" i="39"/>
  <c r="T7" i="39"/>
  <c r="S7" i="39"/>
  <c r="R7" i="39"/>
  <c r="Q7" i="39"/>
  <c r="P7" i="39"/>
  <c r="O7" i="39"/>
  <c r="N7" i="39"/>
  <c r="M7" i="39"/>
  <c r="L7" i="39"/>
  <c r="K7" i="39"/>
  <c r="J7" i="39"/>
  <c r="I7" i="39"/>
  <c r="H7" i="39"/>
  <c r="G7" i="39"/>
  <c r="F7" i="39"/>
  <c r="E7" i="39"/>
  <c r="D7" i="39"/>
  <c r="C7" i="39"/>
  <c r="T6" i="39"/>
  <c r="S6" i="39"/>
  <c r="R6" i="39"/>
  <c r="Q6" i="39"/>
  <c r="P6" i="39"/>
  <c r="O6" i="39"/>
  <c r="N6" i="39"/>
  <c r="M6" i="39"/>
  <c r="L6" i="39"/>
  <c r="K6" i="39"/>
  <c r="J6" i="39"/>
  <c r="I6" i="39"/>
  <c r="H6" i="39"/>
  <c r="G6" i="39"/>
  <c r="F6" i="39"/>
  <c r="E6" i="39"/>
  <c r="D6" i="39"/>
  <c r="C6" i="39"/>
  <c r="T5" i="39"/>
  <c r="S5" i="39"/>
  <c r="R5" i="39"/>
  <c r="Q5" i="39"/>
  <c r="P5" i="39"/>
  <c r="O5" i="39"/>
  <c r="N5" i="39"/>
  <c r="M5" i="39"/>
  <c r="L5" i="39"/>
  <c r="K5" i="39"/>
  <c r="J5" i="39"/>
  <c r="I5" i="39"/>
  <c r="H5" i="39"/>
  <c r="G5" i="39"/>
  <c r="F5" i="39"/>
  <c r="E5" i="39"/>
  <c r="D5" i="39"/>
  <c r="C5" i="39"/>
  <c r="T4" i="39"/>
  <c r="S4" i="39"/>
  <c r="R4" i="39"/>
  <c r="Q4" i="39"/>
  <c r="P4" i="39"/>
  <c r="O4" i="39"/>
  <c r="N4" i="39"/>
  <c r="M4" i="39"/>
  <c r="L4" i="39"/>
  <c r="K4" i="39"/>
  <c r="J4" i="39"/>
  <c r="I4" i="39"/>
  <c r="H4" i="39"/>
  <c r="G4" i="39"/>
  <c r="F4" i="39"/>
  <c r="E4" i="39"/>
  <c r="D4" i="39"/>
  <c r="C4" i="39"/>
  <c r="G3" i="39"/>
  <c r="F3" i="39" s="1"/>
  <c r="E3" i="39" s="1"/>
  <c r="D3" i="39" s="1"/>
  <c r="C3" i="39" s="1"/>
  <c r="G2" i="39"/>
  <c r="I66" i="39" l="1"/>
  <c r="M66" i="39"/>
  <c r="Q66" i="39"/>
  <c r="L66" i="39"/>
  <c r="T66" i="39"/>
  <c r="G66" i="39"/>
  <c r="K66" i="39"/>
  <c r="O66" i="39"/>
  <c r="S66" i="39"/>
  <c r="J66" i="39"/>
  <c r="N66" i="39"/>
  <c r="R66" i="39"/>
  <c r="Q70" i="39"/>
  <c r="H69" i="39"/>
  <c r="L70" i="39"/>
  <c r="P69" i="39"/>
  <c r="T70" i="39"/>
  <c r="M70" i="39"/>
  <c r="H3" i="39"/>
  <c r="I3" i="39" s="1"/>
  <c r="J3" i="39" s="1"/>
  <c r="K3" i="39" s="1"/>
  <c r="L3" i="39" s="1"/>
  <c r="M3" i="39" s="1"/>
  <c r="N3" i="39" s="1"/>
  <c r="O3" i="39" s="1"/>
  <c r="P3" i="39" s="1"/>
  <c r="Q3" i="39" s="1"/>
  <c r="R3" i="39" s="1"/>
  <c r="S3" i="39" s="1"/>
  <c r="T3" i="39" s="1"/>
  <c r="J70" i="39"/>
  <c r="N70" i="39"/>
  <c r="R70" i="39"/>
  <c r="I70" i="39"/>
  <c r="G70" i="39"/>
  <c r="K70" i="39"/>
  <c r="O70" i="39"/>
  <c r="S70" i="39"/>
  <c r="P66" i="39"/>
  <c r="H70" i="39"/>
  <c r="G65" i="39"/>
  <c r="O65" i="39"/>
  <c r="G69" i="39"/>
  <c r="O69" i="39"/>
  <c r="H66" i="39"/>
  <c r="P70" i="39"/>
  <c r="K65" i="39"/>
  <c r="S65" i="39"/>
  <c r="K69" i="39"/>
  <c r="S69" i="39"/>
  <c r="L65" i="39"/>
  <c r="T65" i="39"/>
  <c r="L69" i="39"/>
  <c r="T69" i="39"/>
  <c r="I65" i="39"/>
  <c r="M65" i="39"/>
  <c r="Q65" i="39"/>
  <c r="I69" i="39"/>
  <c r="M69" i="39"/>
  <c r="Q69" i="39"/>
  <c r="J65" i="39"/>
  <c r="N65" i="39"/>
  <c r="R65" i="39"/>
  <c r="J69" i="39"/>
  <c r="N69" i="39"/>
  <c r="R69" i="39"/>
  <c r="F67" i="33"/>
  <c r="H67" i="33"/>
  <c r="G67" i="33"/>
  <c r="H35" i="33" l="1"/>
  <c r="G35" i="33"/>
  <c r="F22" i="33" l="1"/>
  <c r="H22" i="33"/>
  <c r="G22" i="33"/>
  <c r="G32" i="33" l="1"/>
  <c r="H32" i="33"/>
  <c r="I32" i="33"/>
  <c r="J32" i="33"/>
  <c r="K32" i="33"/>
  <c r="L32" i="33"/>
  <c r="M32" i="33"/>
  <c r="N32" i="33"/>
  <c r="O32" i="33"/>
  <c r="F32" i="33"/>
  <c r="F86" i="33"/>
  <c r="P86" i="33"/>
  <c r="F66" i="33" l="1"/>
  <c r="G66" i="33"/>
  <c r="P85" i="33" l="1"/>
  <c r="P84" i="33"/>
  <c r="P83" i="33"/>
  <c r="P82" i="33"/>
  <c r="P81" i="33"/>
  <c r="P80" i="33"/>
  <c r="P79" i="33"/>
  <c r="P78" i="33"/>
  <c r="P77" i="33"/>
  <c r="P76" i="33"/>
  <c r="P75" i="33"/>
  <c r="P74" i="33"/>
  <c r="P73" i="33"/>
  <c r="P72" i="33"/>
  <c r="P71" i="33"/>
  <c r="P70" i="33"/>
  <c r="P69" i="33"/>
  <c r="P68" i="33"/>
  <c r="P67" i="33"/>
  <c r="P66" i="33"/>
  <c r="G65" i="33"/>
  <c r="P65" i="33" s="1"/>
  <c r="G64" i="33"/>
  <c r="P64" i="33" s="1"/>
  <c r="F64" i="33"/>
  <c r="P63" i="33"/>
  <c r="F63" i="33"/>
  <c r="G62" i="33"/>
  <c r="P62" i="33" s="1"/>
  <c r="F62" i="33"/>
  <c r="P61" i="33"/>
  <c r="P60" i="33"/>
  <c r="P59" i="33"/>
  <c r="P58" i="33"/>
  <c r="P57" i="33"/>
  <c r="P56" i="33"/>
  <c r="F56" i="33"/>
  <c r="P55" i="33"/>
  <c r="P54" i="33"/>
  <c r="G53" i="33"/>
  <c r="P53" i="33" s="1"/>
  <c r="F53" i="33"/>
  <c r="P52" i="33"/>
  <c r="F52" i="33"/>
  <c r="P51" i="33"/>
  <c r="F51" i="33"/>
  <c r="P50" i="33"/>
  <c r="P49" i="33"/>
  <c r="P48" i="33"/>
  <c r="P47" i="33"/>
  <c r="P46" i="33"/>
  <c r="G45" i="33"/>
  <c r="P45" i="33" s="1"/>
  <c r="H44" i="33"/>
  <c r="P43" i="33"/>
  <c r="P42" i="33"/>
  <c r="F42" i="33"/>
  <c r="P41" i="33"/>
  <c r="P40" i="33"/>
  <c r="P39" i="33"/>
  <c r="P38" i="33"/>
  <c r="F38" i="33"/>
  <c r="G37" i="33"/>
  <c r="P37" i="33" s="1"/>
  <c r="F37" i="33"/>
  <c r="P36" i="33"/>
  <c r="F36" i="33"/>
  <c r="I35" i="33"/>
  <c r="P34" i="33"/>
  <c r="P33" i="33"/>
  <c r="F33" i="33"/>
  <c r="P31" i="33"/>
  <c r="P30" i="33"/>
  <c r="H30" i="33"/>
  <c r="P29" i="33"/>
  <c r="I28" i="33"/>
  <c r="I27" i="33" s="1"/>
  <c r="H28" i="33"/>
  <c r="H27" i="33" s="1"/>
  <c r="G28" i="33"/>
  <c r="F28" i="33"/>
  <c r="F27" i="33" s="1"/>
  <c r="O27" i="33"/>
  <c r="O26" i="33" s="1"/>
  <c r="N27" i="33"/>
  <c r="M27" i="33"/>
  <c r="L27" i="33"/>
  <c r="K27" i="33"/>
  <c r="J27" i="33"/>
  <c r="M26" i="33"/>
  <c r="P23" i="33"/>
  <c r="O23" i="33"/>
  <c r="N23" i="33"/>
  <c r="M23" i="33"/>
  <c r="L23" i="33"/>
  <c r="K23" i="33"/>
  <c r="J23" i="33"/>
  <c r="I23" i="33"/>
  <c r="H23" i="33"/>
  <c r="G23" i="33"/>
  <c r="F23" i="33"/>
  <c r="H21" i="33"/>
  <c r="G21" i="33"/>
  <c r="F21" i="33"/>
  <c r="O21" i="33"/>
  <c r="N21" i="33"/>
  <c r="M21" i="33"/>
  <c r="L21" i="33"/>
  <c r="K21" i="33"/>
  <c r="J21" i="33"/>
  <c r="I21" i="33"/>
  <c r="G20" i="33"/>
  <c r="P20" i="33" s="1"/>
  <c r="F20" i="33"/>
  <c r="P19" i="33"/>
  <c r="G18" i="33"/>
  <c r="P18" i="33" s="1"/>
  <c r="F18" i="33"/>
  <c r="F11" i="33" s="1"/>
  <c r="P17" i="33"/>
  <c r="P16" i="33"/>
  <c r="P15" i="33"/>
  <c r="G14" i="33"/>
  <c r="P14" i="33" s="1"/>
  <c r="G13" i="33"/>
  <c r="G12" i="33"/>
  <c r="P12" i="33" s="1"/>
  <c r="O11" i="33"/>
  <c r="O8" i="33" s="1"/>
  <c r="N11" i="33"/>
  <c r="N10" i="33" s="1"/>
  <c r="M11" i="33"/>
  <c r="M8" i="33" s="1"/>
  <c r="L11" i="33"/>
  <c r="L10" i="33" s="1"/>
  <c r="K11" i="33"/>
  <c r="K8" i="33" s="1"/>
  <c r="J11" i="33"/>
  <c r="J10" i="33" s="1"/>
  <c r="I11" i="33"/>
  <c r="I10" i="33" s="1"/>
  <c r="H11" i="33"/>
  <c r="H10" i="33" s="1"/>
  <c r="G11" i="33" l="1"/>
  <c r="L26" i="33"/>
  <c r="N9" i="33"/>
  <c r="F9" i="33"/>
  <c r="M10" i="33"/>
  <c r="P13" i="33"/>
  <c r="P11" i="33" s="1"/>
  <c r="L9" i="33"/>
  <c r="P35" i="33"/>
  <c r="P32" i="33" s="1"/>
  <c r="H26" i="33"/>
  <c r="H7" i="33" s="1"/>
  <c r="N26" i="33"/>
  <c r="N7" i="33" s="1"/>
  <c r="L7" i="33"/>
  <c r="J9" i="33"/>
  <c r="K26" i="33"/>
  <c r="J26" i="33"/>
  <c r="J7" i="33" s="1"/>
  <c r="K10" i="33"/>
  <c r="K7" i="33" s="1"/>
  <c r="G10" i="33"/>
  <c r="O10" i="33"/>
  <c r="O7" i="33" s="1"/>
  <c r="M7" i="33"/>
  <c r="I9" i="33"/>
  <c r="M9" i="33"/>
  <c r="P22" i="33"/>
  <c r="P21" i="33" s="1"/>
  <c r="P44" i="33"/>
  <c r="H9" i="33"/>
  <c r="P28" i="33"/>
  <c r="P27" i="33" s="1"/>
  <c r="I26" i="33"/>
  <c r="I7" i="33" s="1"/>
  <c r="I8" i="33"/>
  <c r="F10" i="33"/>
  <c r="F8" i="33"/>
  <c r="J8" i="33"/>
  <c r="N8" i="33"/>
  <c r="K9" i="33"/>
  <c r="O9" i="33"/>
  <c r="G27" i="33"/>
  <c r="G9" i="33"/>
  <c r="H8" i="33"/>
  <c r="L8" i="33"/>
  <c r="F26" i="33" l="1"/>
  <c r="P26" i="33"/>
  <c r="F7" i="33"/>
  <c r="P8" i="33"/>
  <c r="P10" i="33"/>
  <c r="P9" i="33"/>
  <c r="G26" i="33"/>
  <c r="G7" i="33" s="1"/>
  <c r="G8" i="33"/>
  <c r="P7" i="33" l="1"/>
</calcChain>
</file>

<file path=xl/sharedStrings.xml><?xml version="1.0" encoding="utf-8"?>
<sst xmlns="http://schemas.openxmlformats.org/spreadsheetml/2006/main" count="607" uniqueCount="372">
  <si>
    <t>Wykaz przedsięwzięć wieloletnich</t>
  </si>
  <si>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</si>
  <si>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</si>
  <si>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</si>
  <si>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</si>
  <si>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</si>
  <si>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</si>
  <si>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</si>
  <si>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</si>
  <si>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</si>
  <si>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</si>
  <si>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</si>
  <si>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</si>
  <si>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</si>
  <si>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</si>
  <si>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</si>
  <si>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</si>
  <si>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</si>
  <si>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Zespół Szkół Ekonomiczno-Gastronomicznych</t>
  </si>
  <si>
    <t>1.1.1.4</t>
  </si>
  <si>
    <t>1.1.1.5</t>
  </si>
  <si>
    <t>Poprawa funkcjonowania osób niesamodzielnych z terenu powiatu otwockiego poprzez uruchomienie usług socjalnych świadczonych w formie wsparcia dziennego</t>
  </si>
  <si>
    <t>Poznawanie europejskiego rynku pracy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</si>
  <si>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</si>
  <si>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</si>
  <si>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</si>
  <si>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</si>
  <si>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</si>
  <si>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</si>
  <si>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</si>
  <si>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</si>
  <si>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</si>
  <si>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1.3.1.1</t>
  </si>
  <si>
    <t>Dotacja na zadania z zakresu prowadzenia centrum interwencji kryzysowej</t>
  </si>
  <si>
    <t>1.3.1.2</t>
  </si>
  <si>
    <t>Ośrodek koordynacyjno-rehabilitacyjno-opiekuńczy w ramach programu "Za życiem"</t>
  </si>
  <si>
    <t>Specjalny Ośrodek Szkolno-Wychowawczy Nr 2</t>
  </si>
  <si>
    <t>1.3.2.</t>
  </si>
  <si>
    <t>1.3.2.1</t>
  </si>
  <si>
    <t>Budowa chodnika przy drodze powiatowej Nr 2709W w Czarnówce od skrzyżowania w Gliniance</t>
  </si>
  <si>
    <t>Zarząd Dróg Powiatowych</t>
  </si>
  <si>
    <t>1.3.2.2</t>
  </si>
  <si>
    <t>1.3.2.3</t>
  </si>
  <si>
    <t>Przebudowa i rozbudowa budynku w Otwocku przy ul. Komunardów wraz z towarzyszącą infrastrukturą na potrzeby siedziby Starostwa i jednostek organizacyjnych powiatu</t>
  </si>
  <si>
    <t>1.3.2.5</t>
  </si>
  <si>
    <t>1.3.2.6</t>
  </si>
  <si>
    <t>1.3.2.7</t>
  </si>
  <si>
    <t>1.3.2.8</t>
  </si>
  <si>
    <t>Przebudowa sygnalizacji świetlnej na skrzyżowaniu dróg powiatowych Nr 2765W - ul. Kołłątaja i Nr 2763W - ul. Majowej w Otwocku</t>
  </si>
  <si>
    <t>1.3.2.9</t>
  </si>
  <si>
    <t>1.3.2.10</t>
  </si>
  <si>
    <t>Budowa drogi powiatowej Nr 1311W w Natolinie</t>
  </si>
  <si>
    <t>1.3.2.11</t>
  </si>
  <si>
    <t>1.3.2.12</t>
  </si>
  <si>
    <t>Modernizacja drogi powiatowej Nr 2737W Anielinek-Sępochów-Rudno</t>
  </si>
  <si>
    <t>1.3.2.13</t>
  </si>
  <si>
    <t>1.3.2.14</t>
  </si>
  <si>
    <t>1.3.2.15</t>
  </si>
  <si>
    <t>Wykonanie nakładki asfaltobetonowej na drodze powiatowej Nr 2728W w Ostrówcu</t>
  </si>
  <si>
    <t>1.3.2.16</t>
  </si>
  <si>
    <t>Modernizacja drogi powiatowej Nr 2729W Kępa Gliniecka - Otwock Wielki - Otwock Mały - Karczew od drogi krajowej Nr 50 w kierunku wsi Glinki</t>
  </si>
  <si>
    <t>1.3.2.17</t>
  </si>
  <si>
    <t>1.3.2.18</t>
  </si>
  <si>
    <t>Modernizacja drogi powiatowej Nr 2739W w Radachówce</t>
  </si>
  <si>
    <t>1.3.2.19</t>
  </si>
  <si>
    <t>1.3.2.20</t>
  </si>
  <si>
    <t>1.3.2.21</t>
  </si>
  <si>
    <t>Przebudowa drogi powiatowej Nr 2705W - ul. Kąckiej w Wiązownie</t>
  </si>
  <si>
    <t>1.3.2.22</t>
  </si>
  <si>
    <t>1.3.2.23</t>
  </si>
  <si>
    <t>1.3.2.24</t>
  </si>
  <si>
    <t>1.3.2.25</t>
  </si>
  <si>
    <t>Modernizacja drogi powiatowej Nr 1303W we wsi Śniadków Dolny</t>
  </si>
  <si>
    <t>1.3.2.26</t>
  </si>
  <si>
    <t xml:space="preserve">Dom Pomocy Społecznej "Wrzos" </t>
  </si>
  <si>
    <t>1.3.2.27</t>
  </si>
  <si>
    <t>1.3.2.28</t>
  </si>
  <si>
    <t>1.3.2.29</t>
  </si>
  <si>
    <t>Modernizacja drogi powiatowej Nr 2706W Glinianka - Poręby</t>
  </si>
  <si>
    <t>1.3.2.30</t>
  </si>
  <si>
    <t>Budowa chodnika w drodze powiatowej Nr 2729W - ul. Częstochowskiej w Karczewie</t>
  </si>
  <si>
    <t>Budowa chodnika w drodze powiatowej Nr 2745W w miejscowości Kąty</t>
  </si>
  <si>
    <t xml:space="preserve">Rozbudowa szatni w Zespole Szkół Nr 1 w Otwocku wraz z przebudową części istniejącej </t>
  </si>
  <si>
    <t>Modernizacja drogi powiatowej Nr 2745W w Antoninku</t>
  </si>
  <si>
    <t>Modernizacja drogi powiatowej Nr 2744W w Ponurzycy</t>
  </si>
  <si>
    <t>Modernizacja drogi powiatowej Nr 2751W Sobienie Kiełczewskie-Zuzanów-Czarnowiec</t>
  </si>
  <si>
    <t>Modernizacja drogi powiatowej Nr 2752W Władysławów-Zambrzyków Stary-Sobienie Kiełczewskie</t>
  </si>
  <si>
    <t>Wykonanie nakładki asflatobetonowej na drodze powiatowej Nr 2741W w Kołbieli</t>
  </si>
  <si>
    <t>Modernizacja drogi powiatowej Nr 2746W Grabianka - Górki - Osieck</t>
  </si>
  <si>
    <t>Modernizacja drogi powiatowej Nr 1302W Piwonin - Wysoczyn - Szymanowice</t>
  </si>
  <si>
    <t xml:space="preserve">Modernizacja drogi powiatowej Nr 2712W w miejscowości Kruszówiec </t>
  </si>
  <si>
    <t>1.3.2.31</t>
  </si>
  <si>
    <t>1.3.2.32</t>
  </si>
  <si>
    <t>1.3.2.33</t>
  </si>
  <si>
    <t>1.3.2.34</t>
  </si>
  <si>
    <t>Zespół Szkół Nr 1</t>
  </si>
  <si>
    <t>Wykonanie nakładki asfaltobetonowej na drodze powiatowej Nr 2726W przez Sobiekursk</t>
  </si>
  <si>
    <t>Przebudowa drogi powiatowej Nr 2245 W m. Dobrzyniec, gmina Kołbiel</t>
  </si>
  <si>
    <t>1.1.1.1</t>
  </si>
  <si>
    <t>1.1.1.2</t>
  </si>
  <si>
    <t>1.1.1.3</t>
  </si>
  <si>
    <t>1.1.1.6</t>
  </si>
  <si>
    <t>1.3.2.35</t>
  </si>
  <si>
    <t>1.1.1.7</t>
  </si>
  <si>
    <t>1.1.1.8</t>
  </si>
  <si>
    <t>Podniesienie jakości kształcenia zawodowego w Zespole Szkół nr 2 w Otwocku</t>
  </si>
  <si>
    <t>Podniesienie jakości kształcenia zawodowego w Zespole Szkół Ekonomiczno-Gastronomicznych w Otwocku</t>
  </si>
  <si>
    <t>Zespół Szkół Nr 2</t>
  </si>
  <si>
    <t>Wykonanie nakładki asfaltobetonowej na drodze powiatowej Nr 2739W w Gadce na odcinku od drogi krajowej  Nr 17 do miejscowości Gadka</t>
  </si>
  <si>
    <t>1.3.2.36</t>
  </si>
  <si>
    <t>1.3.2.37</t>
  </si>
  <si>
    <t>1.3.2.38</t>
  </si>
  <si>
    <t>1.3.2.39</t>
  </si>
  <si>
    <t>Wykonanie ZRIDu ciągu pieszo-rowerowego między Izabelą a Zakrętem w ramach poprawy bezpieczeństwa na drodze powiatowej nr 2702W</t>
  </si>
  <si>
    <t>Budowa hali sportowej przy Zespole Szkół Nr 2 im. Marii Skłodowskiej-Curie w Otwocku</t>
  </si>
  <si>
    <t>1.3.2.40</t>
  </si>
  <si>
    <t>Aktywna integracja w powiecie otwockim</t>
  </si>
  <si>
    <t>Rozbudowa skrzyżowania dróg powiatowych Nr 2754W –                              ul. Reymonta i Nr 2758W – ul. Samorządowej w Otwocku na skrzyżowanie typu rondo</t>
  </si>
  <si>
    <t>Rozbudowa na rondo skrzyżowania dróg powiatowych Nr 2775W ul. Stare Miasto  i  Nr 2724W ul. Żaboklickiego  z drogą gminną ul. Bielińskiego w Karczewie</t>
  </si>
  <si>
    <t>1.3.2.41</t>
  </si>
  <si>
    <t>Przebudowa dróg powiatowych nr 2762W i 2763W - ul. Kraszewskiego i Majowej w Otwocku</t>
  </si>
  <si>
    <t>Wydatki na programy, projekty lub zadania związane z programami realizowanymi z udziałem środków, o których mowa w art. 5 ust. 1 pkt 2 i 3 ustawy z dnia 27 sierpnia 2009 r. o finansach publicznych (t.j. Dz. U. z 2019 r. poz. 869, z późn. zm.), z tego:</t>
  </si>
  <si>
    <t>1.3.2.42</t>
  </si>
  <si>
    <t>1.3.1.3</t>
  </si>
  <si>
    <t>Wypracowanie i pilotażowe wdrożenie modelu kompleksowej rehabilitacji umożliwiającej podjęcie lub powrót do pracy</t>
  </si>
  <si>
    <t>Wieloletnia prognoza finansowa</t>
  </si>
  <si>
    <t xml:space="preserve">Wykonanie </t>
  </si>
  <si>
    <t>Plan 3 kw.</t>
  </si>
  <si>
    <t>Wyszczególnienie</t>
  </si>
  <si>
    <t>Dochody ogółem</t>
  </si>
  <si>
    <t>1.1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</si>
  <si>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</si>
  <si>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</si>
  <si>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</si>
  <si>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</si>
  <si>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</si>
  <si>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</si>
  <si>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</si>
  <si>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</si>
  <si>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</si>
  <si>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</si>
  <si>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</si>
  <si>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</si>
  <si>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</si>
  <si>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</si>
  <si>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</si>
  <si>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</si>
  <si>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</si>
  <si>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</si>
  <si>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</si>
  <si>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2.1.2</t>
  </si>
  <si>
    <t>2.1.3</t>
  </si>
  <si>
    <t>wydatki na obsługę długu, w tym:</t>
  </si>
  <si>
    <t>2.1.3.1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</si>
  <si>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</si>
  <si>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2.2</t>
  </si>
  <si>
    <t>Wynik budżetu</t>
  </si>
  <si>
    <t>Przychody budżetu</t>
  </si>
  <si>
    <t>4.1</t>
  </si>
  <si>
    <t>4.1.1</t>
  </si>
  <si>
    <t>4.2</t>
  </si>
  <si>
    <t>4.2.1</t>
  </si>
  <si>
    <t>4.3</t>
  </si>
  <si>
    <t>4.3.1</t>
  </si>
  <si>
    <t>4.4</t>
  </si>
  <si>
    <t>4.4.1</t>
  </si>
  <si>
    <t>Rozchody budżetu</t>
  </si>
  <si>
    <t>5.1</t>
  </si>
  <si>
    <t>5.1.1</t>
  </si>
  <si>
    <t>5.1.1.1</t>
  </si>
  <si>
    <t>5.1.1.2</t>
  </si>
  <si>
    <t>5.1.1.3</t>
  </si>
  <si>
    <t>5.2</t>
  </si>
  <si>
    <t>Relacja zrównoważenia wydatków bieżących, o której mowa w art. 242 ustawy</t>
  </si>
  <si>
    <t>x</t>
  </si>
  <si>
    <t>8.1</t>
  </si>
  <si>
    <t>8.2</t>
  </si>
  <si>
    <t>Wskaźnik spłaty zobowiązań</t>
  </si>
  <si>
    <t>9.1</t>
  </si>
  <si>
    <t>9.2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</si>
  <si>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</si>
  <si>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</si>
  <si>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</si>
  <si>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</si>
  <si>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</si>
  <si>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10.1</t>
  </si>
  <si>
    <t>11.1</t>
  </si>
  <si>
    <t>11.2</t>
  </si>
  <si>
    <t>bieżące</t>
  </si>
  <si>
    <t>majątkowe</t>
  </si>
  <si>
    <t>Finansowanie programów, projektów lub zadań realizowanych z udziałem środków, o których mowa w art. 5 ust. 1 pkt 2 i 3 ustawy</t>
  </si>
  <si>
    <t>12.1</t>
  </si>
  <si>
    <t>12.2</t>
  </si>
  <si>
    <t>12.3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</si>
  <si>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</si>
  <si>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</si>
  <si>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</si>
  <si>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wypłaty z tytułu wymagalnych poręczeń i gwarancji</t>
  </si>
  <si>
    <t>Mobilni w Europie</t>
  </si>
  <si>
    <t>Rozbudowa drogi powiatowej Nr 2713W w miejscowościach Stara Wieś, Dąbrówka i Celestynów</t>
  </si>
  <si>
    <t>Przebudowa drogi powiatowej Nr 2724W Karczew - Janów</t>
  </si>
  <si>
    <t xml:space="preserve">Przebudowa drogi powiatowej Nr 2722W – ul. Głównej w Pogorzeli </t>
  </si>
  <si>
    <t xml:space="preserve">Zarząd Dróg Powiatowych </t>
  </si>
  <si>
    <t>Przebudowa drogi powiatowej Nr 2715W – ul. Brzozowej w Pogorzeli</t>
  </si>
  <si>
    <t>Przebudowa mostu w drodze powiatowej Nr 2722W w Pogorzeli</t>
  </si>
  <si>
    <t>Budowa chodnika na drodze powiatowej Nr 2733W – ul. Żurawinowa w Zabieżkach</t>
  </si>
  <si>
    <t>Rozbudowa drogi powiatowej Nr 2765W ul. Staszica i ul. Kołłątaja w Otwocku na odcinku od ul. Karczewskiej do mostu na rzece Świder</t>
  </si>
  <si>
    <t xml:space="preserve">Budowa ciągu pieszo-rowerowego w ul. Warszawskiej i Jana Pawła II w Otwocku na odc. od ul. Willowej do ul. Majowej </t>
  </si>
  <si>
    <t xml:space="preserve">Przebudowa drogi powiatowej Nr 2759W – ul. Poniatowskiego w Otwocku na odcinku ul. Pułaskiego do ul. Narutowicza </t>
  </si>
  <si>
    <t>Rozbudowa dróg powiatowych Nr 2715W ul. Armii Krajowej i Nr 2759W ul. Narutowicza z droga gminną ul. Armii Krajowej w Otwocku</t>
  </si>
  <si>
    <t xml:space="preserve">Budowa chodnika przy drodze powiatowej Nr 2743W w miejsc. Człekówka od drogi krajowej nr 50 do istniejącego chodnika </t>
  </si>
  <si>
    <t>Budowa chodnika w drodze powiatowej Nr 2743W w miejsc. Chrząszczówka</t>
  </si>
  <si>
    <t xml:space="preserve">Modernizacja drogi powiatowej Nr 2736W w miejsc. Teresin </t>
  </si>
  <si>
    <t xml:space="preserve">Rozbudowa drogi powiatowej Nr 1302W Piwonin - Wysoczyn - Szymanowice </t>
  </si>
  <si>
    <t xml:space="preserve">Rozbudowa drogi powiatowej Nr 2712W Wola Karczewska – Kruszówiec </t>
  </si>
  <si>
    <t>Rozbudowa drogi powiatowej Nr 2711W Czarnówka - Rzakta</t>
  </si>
  <si>
    <t xml:space="preserve">Budowa chodnika w drodze powiatowej Nr 2709W w  Bolesławowie </t>
  </si>
  <si>
    <t>Nauczyciele przyszłości</t>
  </si>
  <si>
    <t xml:space="preserve">Rozbudowa skrzyżowania drogi powiatowej Nr 2709W - ulicy Napoleońskiej z drogą powiatową Nr 2710W - ulicą Łąkową na pograniczu miejscowości Lipowo i Glinianka w gminie Wiązowna </t>
  </si>
  <si>
    <t>1.3.2.43</t>
  </si>
  <si>
    <t>1.3.2.44</t>
  </si>
  <si>
    <t>1.3.2.45</t>
  </si>
  <si>
    <t>1.3.2.46</t>
  </si>
  <si>
    <t>1.3.2.47</t>
  </si>
  <si>
    <t>1.3.2.48</t>
  </si>
  <si>
    <t>1.3.2.49</t>
  </si>
  <si>
    <t>1.3.2.50</t>
  </si>
  <si>
    <t>1.3.2.51</t>
  </si>
  <si>
    <t>1.3.2.52</t>
  </si>
  <si>
    <t>1.3.2.53</t>
  </si>
  <si>
    <t>Budowa boiska wielofunkcyjnego w Specjalnym Ośrodku Szkolno-Wychowawczym Nr 1 im. Marii Konopnickiej w Otwocku</t>
  </si>
  <si>
    <t>Specjalny Ośrodek Szkolno-Wychowawczy Nr 1</t>
  </si>
  <si>
    <t>Dochody bieżące, z tego:</t>
  </si>
  <si>
    <t>pozostałe dochody bieżące, w tym:</t>
  </si>
  <si>
    <t>1.1.5.1</t>
  </si>
  <si>
    <t>Dochody majątkowe, w tym:</t>
  </si>
  <si>
    <t>na wynagrodzenia i składki od nich naliczane</t>
  </si>
  <si>
    <t>z tytułu poręczeń i gwarancji, w tym:</t>
  </si>
  <si>
    <t>2.1.2.1</t>
  </si>
  <si>
    <t>gwarancje i poręczenia podlegające wyłączeniu z limitu spłaty zobowiązań, o którym mowa w art. 243 ustawy</t>
  </si>
  <si>
    <t>2.1.3.2</t>
  </si>
  <si>
    <t>odsetki i dyskonto podlegające wyłączeniu z limitu spłaty zobowiązań, o którym mowa w art. 243 ustawy, z tytułu zobowiązań zaciągniętych na wkład krajowy</t>
  </si>
  <si>
    <t>Wydatki majątkowe, w tym:</t>
  </si>
  <si>
    <t>2.2.1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</si>
  <si>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</si>
  <si>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</si>
  <si>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</si>
  <si>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</si>
  <si>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Kwota prognozowanej nadwyżki budżetu przeznaczana na spłatę kredytów, pożyczek i wykup papierów wartościowych</t>
  </si>
  <si>
    <t>Kredyty, pożyczki, emisja papierów wartościowych, w tym:</t>
  </si>
  <si>
    <t>na pokrycie deficytu budżetu</t>
  </si>
  <si>
    <t>Nadwyżka budżetowa z lat ubiegłych, w tym:</t>
  </si>
  <si>
    <t>Wolne środki, o których mowa w art. 217 ust. 2 pkt 6 ustawy, w tym:</t>
  </si>
  <si>
    <t>Spłaty udzielonych pożyczek w latach ubiegłych, w tym:</t>
  </si>
  <si>
    <t>4.5</t>
  </si>
  <si>
    <t>Inne przychody niezwiązane z zaciągnięciem długu, w tym:</t>
  </si>
  <si>
    <t>4.5.1</t>
  </si>
  <si>
    <t>Spłaty rat kapitałowych kredytów i pożyczek oraz wykup papierów wartościowych, w tym: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</si>
  <si>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</si>
  <si>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</si>
  <si>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</si>
  <si>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</si>
  <si>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</si>
  <si>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</si>
  <si>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</si>
  <si>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</si>
  <si>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</si>
  <si>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</si>
  <si>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Inne rozchody niezwiązane ze spłatą długu</t>
  </si>
  <si>
    <t>6</t>
  </si>
  <si>
    <t>Kwota długu, w tym:</t>
  </si>
  <si>
    <t>6.1</t>
  </si>
  <si>
    <t>kwota długu, którego planowana spłata dokona się z wydatków</t>
  </si>
  <si>
    <t>7.1</t>
  </si>
  <si>
    <t>Różnica między dochodami bieżącymi a wydatkami bieżącymi</t>
  </si>
  <si>
    <t>7.2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</si>
  <si>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</si>
  <si>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</si>
  <si>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</si>
  <si>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8.2_v2020</t>
  </si>
  <si>
    <t>8.2_v2026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</si>
  <si>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</si>
  <si>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</si>
  <si>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</si>
  <si>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</si>
  <si>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</si>
  <si>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8.4.1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</si>
  <si>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</si>
  <si>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</si>
  <si>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</si>
  <si>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</si>
  <si>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</si>
  <si>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</si>
  <si>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</si>
  <si>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</si>
  <si>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</si>
  <si>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</si>
  <si>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</si>
  <si>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</si>
  <si>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</si>
  <si>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</si>
  <si>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</si>
  <si>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</si>
  <si>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</si>
  <si>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Wydatki objęte limitem, o którym mowa w art. 226 ust. 3 pkt 4 ustawy, z tego:</t>
  </si>
  <si>
    <t>10.1.1</t>
  </si>
  <si>
    <t>10.1.2</t>
  </si>
  <si>
    <t>10.2</t>
  </si>
  <si>
    <t>10.3</t>
  </si>
  <si>
    <t>Wydatki na spłatę zobowiązań przejmowanych w związku z likwidacją lub przekształceniem samodzielnego publicznego zakładu opieki zdrowotnej</t>
  </si>
  <si>
    <t>10.4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</si>
  <si>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</si>
  <si>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</si>
  <si>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</si>
  <si>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</si>
  <si>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</si>
  <si>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Wydatki zmniejszające dług, w tym: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</si>
  <si>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</si>
  <si>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</si>
  <si>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</si>
  <si>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</si>
  <si>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</si>
  <si>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</si>
  <si>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</si>
  <si>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</si>
  <si>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</si>
  <si>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</si>
  <si>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</si>
  <si>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</si>
  <si>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</si>
  <si>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Dane dotyczące emitowanych obligacji przychodowych</t>
  </si>
  <si>
    <t>Środki z przedsięwzięcia gromadzone na rachunku bankowym, w tym:</t>
  </si>
  <si>
    <t>11.1.1</t>
  </si>
  <si>
    <t>środki na zaspokojenie roszczeń obligatariuszy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</si>
  <si>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</si>
  <si>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</si>
  <si>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</si>
  <si>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</si>
  <si>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</si>
  <si>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1.1.1.9</t>
  </si>
  <si>
    <t>Bardziej aktywny dzięki sztuce współczesnej</t>
  </si>
  <si>
    <t>Specjalny                    Ośrodek Szkolno - Wychowawczy Nr 1</t>
  </si>
  <si>
    <t>Różnica między dochodami bieżącymi, skorygowanymi o środki a wydatkami bieżącymi</t>
  </si>
  <si>
    <t>Relacja określona po prawej stronie nierówności we wzorze, o którym mowa w art. 243 ust. 1 ustawy, ustalona dla danego roku (wskaźnik jednoroczny)</t>
  </si>
  <si>
    <t>1.3.2.4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</si>
  <si>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</si>
  <si>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1.1.2.1</t>
  </si>
  <si>
    <t>1.3.1.4</t>
  </si>
  <si>
    <t>Utrzymanie ciągłości projektu pn. " Poprawa funkcjonowania osób niesamodzielnych z terenu powiatu otwockiego poprzez uruchomienie usług socjalnych świadczonych w formie wsparcia dziennego"</t>
  </si>
  <si>
    <t>Limity wydatków w poszczególnych latach</t>
  </si>
  <si>
    <t>Regionalne partnerstwo samorządów Mazowsza dla aktywizacji społeczeństwa informacyjnego w zakresie                                               e-administracji i geoinformacji</t>
  </si>
  <si>
    <t>Budowa sygnalizacji świetlnej radarowej</t>
  </si>
  <si>
    <t>Przebudowa mostów przez rzekę Świder w ciągu drogi powiatowej Nr 2737W w miejsc. Sępochów</t>
  </si>
  <si>
    <t xml:space="preserve">Budowa Domu Pomocy Społecznej "Wrzos" </t>
  </si>
  <si>
    <t>Budowa parkingu na pojazdy usunięte z dróg zgodnie z art. 130a ust. 1, 2 i 5c ustawy Prawo o ruchu drogowym</t>
  </si>
  <si>
    <t>1.3.2.54</t>
  </si>
  <si>
    <t>2.1.3.3</t>
  </si>
  <si>
    <t xml:space="preserve">pozostałe odsetki i dyskonto podlegające wyłączeniu z limitu spłaty zobowiązań, o którym mowa w art. 243 ustawy </t>
  </si>
  <si>
    <t>5.1.1.4</t>
  </si>
  <si>
    <t>kwota przypadających na dany rok kwot pozostałych ustawowych wyłączeń z limitu spłaty zobowiązań</t>
  </si>
  <si>
    <t>art15zoc_ZD</t>
  </si>
  <si>
    <t xml:space="preserve">Relacja kwoty długu do dochodów ogółem </t>
  </si>
  <si>
    <t>art15zoc_8.1_ROD</t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</si>
  <si>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 xml:space="preserve"> przypadających na dany rok)</t>
    </r>
  </si>
  <si>
    <t>art15zoc_8.4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</si>
  <si>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plan 3 kwartałów roku poprzedzającego rok budżetowy</t>
    </r>
  </si>
  <si>
    <t>art15zoc_8.4.1</t>
  </si>
  <si>
    <r>
      <t xml:space="preserve">Informacja o spełnieniu wskaźnika spłaty zobowiązań określonego w art. 243 ustawy, po uwzględnieniu zobowiązań związku współtworzonego przez jednostkę samorządu terytorialnego oraz po uwzględnieniu ustawowych wyłączeń </t>
    </r>
    <r>
      <rPr>
        <b/>
        <u/>
        <sz val="9"/>
        <color indexed="8"/>
        <rFont val="Times New Roman"/>
        <family val="1"/>
        <charset val="238"/>
      </rPr>
      <t>bez art. 15zob ust. 1</t>
    </r>
    <r>
      <rPr>
        <sz val="9"/>
        <color indexed="8"/>
        <rFont val="Times New Roman"/>
        <family val="1"/>
        <charset val="238"/>
      </rPr>
      <t>, obliczonego w oparciu o wykonanie roku poprzedzającego rok budżetowy</t>
    </r>
  </si>
  <si>
    <t>10.10</t>
  </si>
  <si>
    <t xml:space="preserve">Wykup papierów wartościowych, spłaty rat kredytów i pożyczek wraz z należnymi odsetkami i dyskontem, odpowiednio emitowanych lub zaciągniętych do równowartości kwoty ubytku w wykonanych dochodach jednostki samorządu terytorialnego będącego skutkiem wystąpienia COVID-19 </t>
  </si>
  <si>
    <t>10.11</t>
  </si>
  <si>
    <t>Wydatki bieżące podlegające ustawowemu wyłączeniu z limitu spłaty zobowiązań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</si>
</sst>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\-#,##0.00\ "/>
    <numFmt numFmtId="165" formatCode="#,##0.00_ ;[Red]\-#,##0.00\ 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Czcionka tekstu podstawowego"/>
      <charset val="238"/>
    </font>
    <font>
      <sz val="10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9"/>
      <color indexed="8"/>
      <name val="Czcionka tekstu podstawowego"/>
      <charset val="238"/>
    </font>
    <font>
      <b/>
      <u/>
      <sz val="9"/>
      <color indexed="8"/>
      <name val="Times New Roman"/>
      <family val="1"/>
      <charset val="238"/>
    </font>
    <font>
      <b/>
      <i/>
      <sz val="10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1">
    <xf numFmtId="0" fontId="0" fillId="0" borderId="0"/>
    <xf numFmtId="0" fontId="42" fillId="0" borderId="0"/>
    <xf numFmtId="0" fontId="42" fillId="0" borderId="0"/>
    <xf numFmtId="0" fontId="43" fillId="0" borderId="0"/>
    <xf numFmtId="0" fontId="44" fillId="0" borderId="0"/>
    <xf numFmtId="0" fontId="43" fillId="0" borderId="0"/>
    <xf numFmtId="9" fontId="44" fillId="0" borderId="0" applyFont="0" applyFill="0" applyBorder="0" applyAlignment="0" applyProtection="0"/>
    <xf numFmtId="0" fontId="41" fillId="0" borderId="0"/>
    <xf numFmtId="0" fontId="40" fillId="0" borderId="0"/>
    <xf numFmtId="0" fontId="39" fillId="0" borderId="0"/>
    <xf numFmtId="0" fontId="38" fillId="0" borderId="0"/>
    <xf numFmtId="0" fontId="45" fillId="0" borderId="0" applyNumberFormat="0" applyFill="0" applyBorder="0" applyAlignment="0" applyProtection="0">
      <alignment vertical="top"/>
    </xf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4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4" fillId="36" borderId="0" applyNumberFormat="0" applyBorder="0" applyAlignment="0" applyProtection="0"/>
    <xf numFmtId="0" fontId="8" fillId="13" borderId="0" applyNumberFormat="0" applyBorder="0" applyAlignment="0" applyProtection="0"/>
    <xf numFmtId="0" fontId="44" fillId="37" borderId="0" applyNumberFormat="0" applyBorder="0" applyAlignment="0" applyProtection="0"/>
    <xf numFmtId="0" fontId="8" fillId="17" borderId="0" applyNumberFormat="0" applyBorder="0" applyAlignment="0" applyProtection="0"/>
    <xf numFmtId="0" fontId="44" fillId="38" borderId="0" applyNumberFormat="0" applyBorder="0" applyAlignment="0" applyProtection="0"/>
    <xf numFmtId="0" fontId="8" fillId="21" borderId="0" applyNumberFormat="0" applyBorder="0" applyAlignment="0" applyProtection="0"/>
    <xf numFmtId="0" fontId="44" fillId="39" borderId="0" applyNumberFormat="0" applyBorder="0" applyAlignment="0" applyProtection="0"/>
    <xf numFmtId="0" fontId="8" fillId="25" borderId="0" applyNumberFormat="0" applyBorder="0" applyAlignment="0" applyProtection="0"/>
    <xf numFmtId="0" fontId="44" fillId="40" borderId="0" applyNumberFormat="0" applyBorder="0" applyAlignment="0" applyProtection="0"/>
    <xf numFmtId="0" fontId="8" fillId="29" borderId="0" applyNumberFormat="0" applyBorder="0" applyAlignment="0" applyProtection="0"/>
    <xf numFmtId="0" fontId="44" fillId="41" borderId="0" applyNumberFormat="0" applyBorder="0" applyAlignment="0" applyProtection="0"/>
    <xf numFmtId="0" fontId="8" fillId="33" borderId="0" applyNumberFormat="0" applyBorder="0" applyAlignment="0" applyProtection="0"/>
    <xf numFmtId="0" fontId="44" fillId="42" borderId="0" applyNumberFormat="0" applyBorder="0" applyAlignment="0" applyProtection="0"/>
    <xf numFmtId="0" fontId="8" fillId="14" borderId="0" applyNumberFormat="0" applyBorder="0" applyAlignment="0" applyProtection="0"/>
    <xf numFmtId="0" fontId="44" fillId="43" borderId="0" applyNumberFormat="0" applyBorder="0" applyAlignment="0" applyProtection="0"/>
    <xf numFmtId="0" fontId="8" fillId="18" borderId="0" applyNumberFormat="0" applyBorder="0" applyAlignment="0" applyProtection="0"/>
    <xf numFmtId="0" fontId="44" fillId="44" borderId="0" applyNumberFormat="0" applyBorder="0" applyAlignment="0" applyProtection="0"/>
    <xf numFmtId="0" fontId="8" fillId="22" borderId="0" applyNumberFormat="0" applyBorder="0" applyAlignment="0" applyProtection="0"/>
    <xf numFmtId="0" fontId="44" fillId="39" borderId="0" applyNumberFormat="0" applyBorder="0" applyAlignment="0" applyProtection="0"/>
    <xf numFmtId="0" fontId="8" fillId="26" borderId="0" applyNumberFormat="0" applyBorder="0" applyAlignment="0" applyProtection="0"/>
    <xf numFmtId="0" fontId="44" fillId="42" borderId="0" applyNumberFormat="0" applyBorder="0" applyAlignment="0" applyProtection="0"/>
    <xf numFmtId="0" fontId="8" fillId="30" borderId="0" applyNumberFormat="0" applyBorder="0" applyAlignment="0" applyProtection="0"/>
    <xf numFmtId="0" fontId="44" fillId="45" borderId="0" applyNumberFormat="0" applyBorder="0" applyAlignment="0" applyProtection="0"/>
    <xf numFmtId="0" fontId="8" fillId="34" borderId="0" applyNumberFormat="0" applyBorder="0" applyAlignment="0" applyProtection="0"/>
    <xf numFmtId="0" fontId="79" fillId="46" borderId="0" applyNumberFormat="0" applyBorder="0" applyAlignment="0" applyProtection="0"/>
    <xf numFmtId="0" fontId="77" fillId="15" borderId="0" applyNumberFormat="0" applyBorder="0" applyAlignment="0" applyProtection="0"/>
    <xf numFmtId="0" fontId="79" fillId="43" borderId="0" applyNumberFormat="0" applyBorder="0" applyAlignment="0" applyProtection="0"/>
    <xf numFmtId="0" fontId="77" fillId="19" borderId="0" applyNumberFormat="0" applyBorder="0" applyAlignment="0" applyProtection="0"/>
    <xf numFmtId="0" fontId="79" fillId="44" borderId="0" applyNumberFormat="0" applyBorder="0" applyAlignment="0" applyProtection="0"/>
    <xf numFmtId="0" fontId="77" fillId="23" borderId="0" applyNumberFormat="0" applyBorder="0" applyAlignment="0" applyProtection="0"/>
    <xf numFmtId="0" fontId="79" fillId="47" borderId="0" applyNumberFormat="0" applyBorder="0" applyAlignment="0" applyProtection="0"/>
    <xf numFmtId="0" fontId="77" fillId="27" borderId="0" applyNumberFormat="0" applyBorder="0" applyAlignment="0" applyProtection="0"/>
    <xf numFmtId="0" fontId="79" fillId="48" borderId="0" applyNumberFormat="0" applyBorder="0" applyAlignment="0" applyProtection="0"/>
    <xf numFmtId="0" fontId="77" fillId="31" borderId="0" applyNumberFormat="0" applyBorder="0" applyAlignment="0" applyProtection="0"/>
    <xf numFmtId="0" fontId="79" fillId="49" borderId="0" applyNumberFormat="0" applyBorder="0" applyAlignment="0" applyProtection="0"/>
    <xf numFmtId="0" fontId="77" fillId="35" borderId="0" applyNumberFormat="0" applyBorder="0" applyAlignment="0" applyProtection="0"/>
    <xf numFmtId="0" fontId="79" fillId="50" borderId="0" applyNumberFormat="0" applyBorder="0" applyAlignment="0" applyProtection="0"/>
    <xf numFmtId="0" fontId="77" fillId="12" borderId="0" applyNumberFormat="0" applyBorder="0" applyAlignment="0" applyProtection="0"/>
    <xf numFmtId="0" fontId="79" fillId="51" borderId="0" applyNumberFormat="0" applyBorder="0" applyAlignment="0" applyProtection="0"/>
    <xf numFmtId="0" fontId="77" fillId="16" borderId="0" applyNumberFormat="0" applyBorder="0" applyAlignment="0" applyProtection="0"/>
    <xf numFmtId="0" fontId="79" fillId="52" borderId="0" applyNumberFormat="0" applyBorder="0" applyAlignment="0" applyProtection="0"/>
    <xf numFmtId="0" fontId="77" fillId="20" borderId="0" applyNumberFormat="0" applyBorder="0" applyAlignment="0" applyProtection="0"/>
    <xf numFmtId="0" fontId="79" fillId="47" borderId="0" applyNumberFormat="0" applyBorder="0" applyAlignment="0" applyProtection="0"/>
    <xf numFmtId="0" fontId="77" fillId="24" borderId="0" applyNumberFormat="0" applyBorder="0" applyAlignment="0" applyProtection="0"/>
    <xf numFmtId="0" fontId="79" fillId="48" borderId="0" applyNumberFormat="0" applyBorder="0" applyAlignment="0" applyProtection="0"/>
    <xf numFmtId="0" fontId="77" fillId="28" borderId="0" applyNumberFormat="0" applyBorder="0" applyAlignment="0" applyProtection="0"/>
    <xf numFmtId="0" fontId="79" fillId="53" borderId="0" applyNumberFormat="0" applyBorder="0" applyAlignment="0" applyProtection="0"/>
    <xf numFmtId="0" fontId="77" fillId="32" borderId="0" applyNumberFormat="0" applyBorder="0" applyAlignment="0" applyProtection="0"/>
    <xf numFmtId="0" fontId="80" fillId="41" borderId="42" applyNumberFormat="0" applyAlignment="0" applyProtection="0"/>
    <xf numFmtId="0" fontId="70" fillId="8" borderId="36" applyNumberFormat="0" applyAlignment="0" applyProtection="0"/>
    <xf numFmtId="0" fontId="81" fillId="54" borderId="43" applyNumberFormat="0" applyAlignment="0" applyProtection="0"/>
    <xf numFmtId="0" fontId="71" fillId="9" borderId="37" applyNumberFormat="0" applyAlignment="0" applyProtection="0"/>
    <xf numFmtId="0" fontId="82" fillId="38" borderId="0" applyNumberFormat="0" applyBorder="0" applyAlignment="0" applyProtection="0"/>
    <xf numFmtId="0" fontId="67" fillId="5" borderId="0" applyNumberFormat="0" applyBorder="0" applyAlignment="0" applyProtection="0"/>
    <xf numFmtId="0" fontId="83" fillId="0" borderId="44" applyNumberFormat="0" applyFill="0" applyAlignment="0" applyProtection="0"/>
    <xf numFmtId="0" fontId="73" fillId="0" borderId="38" applyNumberFormat="0" applyFill="0" applyAlignment="0" applyProtection="0"/>
    <xf numFmtId="0" fontId="84" fillId="55" borderId="45" applyNumberFormat="0" applyAlignment="0" applyProtection="0"/>
    <xf numFmtId="0" fontId="74" fillId="10" borderId="39" applyNumberFormat="0" applyAlignment="0" applyProtection="0"/>
    <xf numFmtId="0" fontId="85" fillId="0" borderId="46" applyNumberFormat="0" applyFill="0" applyAlignment="0" applyProtection="0"/>
    <xf numFmtId="0" fontId="64" fillId="0" borderId="33" applyNumberFormat="0" applyFill="0" applyAlignment="0" applyProtection="0"/>
    <xf numFmtId="0" fontId="86" fillId="0" borderId="47" applyNumberFormat="0" applyFill="0" applyAlignment="0" applyProtection="0"/>
    <xf numFmtId="0" fontId="65" fillId="0" borderId="34" applyNumberFormat="0" applyFill="0" applyAlignment="0" applyProtection="0"/>
    <xf numFmtId="0" fontId="87" fillId="0" borderId="48" applyNumberFormat="0" applyFill="0" applyAlignment="0" applyProtection="0"/>
    <xf numFmtId="0" fontId="66" fillId="0" borderId="35" applyNumberFormat="0" applyFill="0" applyAlignment="0" applyProtection="0"/>
    <xf numFmtId="0" fontId="8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8" fillId="56" borderId="0" applyNumberFormat="0" applyBorder="0" applyAlignment="0" applyProtection="0"/>
    <xf numFmtId="0" fontId="69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8" fillId="0" borderId="0"/>
    <xf numFmtId="0" fontId="42" fillId="0" borderId="0"/>
    <xf numFmtId="0" fontId="42" fillId="0" borderId="0"/>
    <xf numFmtId="0" fontId="78" fillId="0" borderId="0" applyProtection="0"/>
    <xf numFmtId="0" fontId="44" fillId="0" borderId="0"/>
    <xf numFmtId="0" fontId="42" fillId="0" borderId="0"/>
    <xf numFmtId="0" fontId="42" fillId="0" borderId="0"/>
    <xf numFmtId="0" fontId="8" fillId="0" borderId="0"/>
    <xf numFmtId="0" fontId="89" fillId="54" borderId="42" applyNumberFormat="0" applyAlignment="0" applyProtection="0"/>
    <xf numFmtId="0" fontId="72" fillId="9" borderId="36" applyNumberFormat="0" applyAlignment="0" applyProtection="0"/>
    <xf numFmtId="9" fontId="4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90" fillId="0" borderId="49" applyNumberFormat="0" applyFill="0" applyAlignment="0" applyProtection="0"/>
    <xf numFmtId="0" fontId="63" fillId="0" borderId="41" applyNumberFormat="0" applyFill="0" applyAlignment="0" applyProtection="0"/>
    <xf numFmtId="0" fontId="9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8" fillId="57" borderId="50" applyNumberFormat="0" applyFont="0" applyAlignment="0" applyProtection="0"/>
    <xf numFmtId="0" fontId="8" fillId="11" borderId="40" applyNumberFormat="0" applyFont="0" applyAlignment="0" applyProtection="0"/>
    <xf numFmtId="0" fontId="94" fillId="37" borderId="0" applyNumberFormat="0" applyBorder="0" applyAlignment="0" applyProtection="0"/>
    <xf numFmtId="0" fontId="68" fillId="6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4">
    <xf numFmtId="0" fontId="0" fillId="0" borderId="0" xfId="0"/>
    <xf numFmtId="165" fontId="52" fillId="3" borderId="10" xfId="4" applyNumberFormat="1" applyFont="1" applyFill="1" applyBorder="1" applyAlignment="1">
      <alignment vertical="center" shrinkToFit="1"/>
    </xf>
    <xf numFmtId="165" fontId="52" fillId="3" borderId="11" xfId="4" applyNumberFormat="1" applyFont="1" applyFill="1" applyBorder="1" applyAlignment="1">
      <alignment vertical="center" shrinkToFit="1"/>
    </xf>
    <xf numFmtId="165" fontId="52" fillId="0" borderId="10" xfId="4" applyNumberFormat="1" applyFont="1" applyFill="1" applyBorder="1" applyAlignment="1">
      <alignment vertical="center" shrinkToFit="1"/>
    </xf>
    <xf numFmtId="165" fontId="54" fillId="3" borderId="10" xfId="4" applyNumberFormat="1" applyFont="1" applyFill="1" applyBorder="1" applyAlignment="1">
      <alignment vertical="center" shrinkToFit="1"/>
    </xf>
    <xf numFmtId="165" fontId="54" fillId="3" borderId="11" xfId="4" applyNumberFormat="1" applyFont="1" applyFill="1" applyBorder="1" applyAlignment="1">
      <alignment vertical="center" shrinkToFit="1"/>
    </xf>
    <xf numFmtId="165" fontId="54" fillId="0" borderId="12" xfId="4" applyNumberFormat="1" applyFont="1" applyFill="1" applyBorder="1" applyAlignment="1">
      <alignment vertical="center" shrinkToFit="1"/>
    </xf>
    <xf numFmtId="165" fontId="54" fillId="0" borderId="10" xfId="4" applyNumberFormat="1" applyFont="1" applyFill="1" applyBorder="1" applyAlignment="1">
      <alignment vertical="center" shrinkToFit="1"/>
    </xf>
    <xf numFmtId="165" fontId="52" fillId="3" borderId="10" xfId="4" applyNumberFormat="1" applyFont="1" applyFill="1" applyBorder="1" applyAlignment="1">
      <alignment horizontal="center" vertical="center" shrinkToFit="1"/>
    </xf>
    <xf numFmtId="165" fontId="52" fillId="3" borderId="11" xfId="4" applyNumberFormat="1" applyFont="1" applyFill="1" applyBorder="1" applyAlignment="1">
      <alignment horizontal="center" vertical="center" shrinkToFit="1"/>
    </xf>
    <xf numFmtId="165" fontId="52" fillId="0" borderId="12" xfId="4" applyNumberFormat="1" applyFont="1" applyFill="1" applyBorder="1" applyAlignment="1">
      <alignment horizontal="center" vertical="center" shrinkToFit="1"/>
    </xf>
    <xf numFmtId="165" fontId="52" fillId="0" borderId="10" xfId="4" applyNumberFormat="1" applyFont="1" applyFill="1" applyBorder="1" applyAlignment="1">
      <alignment horizontal="center" vertical="center" shrinkToFit="1"/>
    </xf>
    <xf numFmtId="0" fontId="42" fillId="0" borderId="0" xfId="1" applyFont="1"/>
    <xf numFmtId="0" fontId="56" fillId="0" borderId="0" xfId="1" applyFont="1" applyAlignment="1">
      <alignment vertical="center"/>
    </xf>
    <xf numFmtId="0" fontId="42" fillId="0" borderId="0" xfId="1" applyFont="1" applyAlignment="1">
      <alignment horizontal="center"/>
    </xf>
    <xf numFmtId="0" fontId="57" fillId="0" borderId="0" xfId="1" applyFont="1"/>
    <xf numFmtId="0" fontId="58" fillId="0" borderId="1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center" vertical="center" wrapText="1"/>
    </xf>
    <xf numFmtId="0" fontId="58" fillId="0" borderId="0" xfId="1" applyFont="1" applyFill="1" applyAlignment="1">
      <alignment horizontal="center"/>
    </xf>
    <xf numFmtId="0" fontId="57" fillId="3" borderId="1" xfId="1" applyFont="1" applyFill="1" applyBorder="1" applyAlignment="1">
      <alignment horizontal="center" vertical="center"/>
    </xf>
    <xf numFmtId="4" fontId="57" fillId="3" borderId="1" xfId="1" applyNumberFormat="1" applyFont="1" applyFill="1" applyBorder="1" applyAlignment="1">
      <alignment horizontal="right" vertical="center" wrapText="1"/>
    </xf>
    <xf numFmtId="0" fontId="57" fillId="0" borderId="0" xfId="1" applyFont="1" applyFill="1"/>
    <xf numFmtId="4" fontId="57" fillId="3" borderId="1" xfId="1" applyNumberFormat="1" applyFont="1" applyFill="1" applyBorder="1" applyAlignment="1"/>
    <xf numFmtId="0" fontId="57" fillId="0" borderId="0" xfId="1" applyFont="1" applyAlignment="1">
      <alignment vertical="center"/>
    </xf>
    <xf numFmtId="0" fontId="42" fillId="0" borderId="1" xfId="1" applyFont="1" applyFill="1" applyBorder="1" applyAlignment="1">
      <alignment horizontal="left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57" fillId="0" borderId="1" xfId="1" applyFont="1" applyFill="1" applyBorder="1" applyAlignment="1">
      <alignment horizontal="center" vertical="center"/>
    </xf>
    <xf numFmtId="4" fontId="57" fillId="0" borderId="1" xfId="1" applyNumberFormat="1" applyFont="1" applyFill="1" applyBorder="1" applyAlignment="1"/>
    <xf numFmtId="4" fontId="42" fillId="0" borderId="1" xfId="1" applyNumberFormat="1" applyFont="1" applyFill="1" applyBorder="1" applyAlignment="1"/>
    <xf numFmtId="4" fontId="57" fillId="0" borderId="1" xfId="1" applyNumberFormat="1" applyFont="1" applyBorder="1" applyAlignment="1"/>
    <xf numFmtId="0" fontId="42" fillId="0" borderId="0" xfId="1" applyFont="1" applyAlignment="1">
      <alignment vertical="center"/>
    </xf>
    <xf numFmtId="0" fontId="42" fillId="0" borderId="17" xfId="1" applyFont="1" applyFill="1" applyBorder="1" applyAlignment="1">
      <alignment horizontal="left" vertical="center" wrapText="1"/>
    </xf>
    <xf numFmtId="0" fontId="57" fillId="0" borderId="17" xfId="1" applyFont="1" applyFill="1" applyBorder="1" applyAlignment="1">
      <alignment horizontal="center" vertical="center"/>
    </xf>
    <xf numFmtId="4" fontId="42" fillId="0" borderId="17" xfId="1" applyNumberFormat="1" applyFont="1" applyFill="1" applyBorder="1" applyAlignment="1"/>
    <xf numFmtId="4" fontId="57" fillId="0" borderId="17" xfId="1" applyNumberFormat="1" applyFont="1" applyBorder="1" applyAlignment="1"/>
    <xf numFmtId="4" fontId="42" fillId="0" borderId="1" xfId="1" applyNumberFormat="1" applyFont="1" applyBorder="1" applyAlignment="1"/>
    <xf numFmtId="0" fontId="42" fillId="0" borderId="0" xfId="1" applyFont="1" applyFill="1" applyAlignment="1">
      <alignment vertical="center"/>
    </xf>
    <xf numFmtId="0" fontId="57" fillId="0" borderId="0" xfId="1" applyFont="1" applyFill="1" applyAlignment="1">
      <alignment horizontal="right"/>
    </xf>
    <xf numFmtId="0" fontId="42" fillId="0" borderId="20" xfId="1" applyFont="1" applyFill="1" applyBorder="1" applyAlignment="1">
      <alignment horizontal="left" vertical="center" wrapText="1"/>
    </xf>
    <xf numFmtId="0" fontId="42" fillId="0" borderId="2" xfId="1" applyFont="1" applyFill="1" applyBorder="1" applyAlignment="1">
      <alignment horizontal="center" vertical="center" wrapText="1"/>
    </xf>
    <xf numFmtId="0" fontId="57" fillId="0" borderId="2" xfId="1" applyFont="1" applyFill="1" applyBorder="1" applyAlignment="1">
      <alignment horizontal="center" vertical="center"/>
    </xf>
    <xf numFmtId="4" fontId="42" fillId="0" borderId="2" xfId="1" applyNumberFormat="1" applyFont="1" applyFill="1" applyBorder="1" applyAlignment="1"/>
    <xf numFmtId="0" fontId="42" fillId="0" borderId="0" xfId="1" applyFont="1" applyFill="1" applyBorder="1"/>
    <xf numFmtId="0" fontId="42" fillId="0" borderId="1" xfId="2" applyFont="1" applyFill="1" applyBorder="1" applyAlignment="1">
      <alignment vertical="center" wrapText="1"/>
    </xf>
    <xf numFmtId="0" fontId="42" fillId="0" borderId="1" xfId="2" applyFont="1" applyFill="1" applyBorder="1" applyAlignment="1">
      <alignment horizontal="left" vertical="center" wrapText="1"/>
    </xf>
    <xf numFmtId="0" fontId="42" fillId="0" borderId="3" xfId="1" applyFont="1" applyFill="1" applyBorder="1" applyAlignment="1">
      <alignment horizontal="center" vertical="center" wrapText="1"/>
    </xf>
    <xf numFmtId="164" fontId="42" fillId="0" borderId="1" xfId="1" applyNumberFormat="1" applyFont="1" applyFill="1" applyBorder="1" applyAlignment="1"/>
    <xf numFmtId="4" fontId="42" fillId="0" borderId="1" xfId="1" applyNumberFormat="1" applyFont="1" applyFill="1" applyBorder="1" applyAlignment="1">
      <alignment horizontal="right"/>
    </xf>
    <xf numFmtId="0" fontId="42" fillId="0" borderId="5" xfId="2" applyFont="1" applyFill="1" applyBorder="1" applyAlignment="1">
      <alignment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center" vertical="center"/>
    </xf>
    <xf numFmtId="4" fontId="42" fillId="0" borderId="1" xfId="2" applyNumberFormat="1" applyFont="1" applyFill="1" applyBorder="1"/>
    <xf numFmtId="0" fontId="42" fillId="0" borderId="0" xfId="1" applyFont="1" applyFill="1"/>
    <xf numFmtId="0" fontId="42" fillId="0" borderId="5" xfId="0" applyFont="1" applyFill="1" applyBorder="1" applyAlignment="1">
      <alignment vertical="center" wrapText="1"/>
    </xf>
    <xf numFmtId="0" fontId="42" fillId="0" borderId="5" xfId="2" applyFont="1" applyFill="1" applyBorder="1" applyAlignment="1">
      <alignment horizontal="center" vertical="center" wrapText="1"/>
    </xf>
    <xf numFmtId="0" fontId="57" fillId="0" borderId="5" xfId="2" applyFont="1" applyFill="1" applyBorder="1" applyAlignment="1">
      <alignment horizontal="center" vertical="center"/>
    </xf>
    <xf numFmtId="4" fontId="42" fillId="0" borderId="5" xfId="2" applyNumberFormat="1" applyFont="1" applyFill="1" applyBorder="1"/>
    <xf numFmtId="0" fontId="42" fillId="0" borderId="6" xfId="2" applyFont="1" applyFill="1" applyBorder="1" applyAlignment="1">
      <alignment vertical="center" wrapText="1"/>
    </xf>
    <xf numFmtId="0" fontId="42" fillId="0" borderId="3" xfId="2" applyFont="1" applyFill="1" applyBorder="1" applyAlignment="1">
      <alignment horizontal="center" vertical="center" wrapText="1"/>
    </xf>
    <xf numFmtId="4" fontId="42" fillId="0" borderId="1" xfId="1" applyNumberFormat="1" applyFont="1" applyFill="1" applyBorder="1"/>
    <xf numFmtId="0" fontId="42" fillId="0" borderId="7" xfId="11" applyFont="1" applyFill="1" applyBorder="1" applyAlignment="1" applyProtection="1">
      <alignment horizontal="left" vertical="center" wrapText="1"/>
    </xf>
    <xf numFmtId="0" fontId="42" fillId="0" borderId="2" xfId="2" applyFont="1" applyFill="1" applyBorder="1" applyAlignment="1">
      <alignment horizontal="center" vertical="center" wrapText="1"/>
    </xf>
    <xf numFmtId="0" fontId="42" fillId="0" borderId="2" xfId="11" applyFont="1" applyFill="1" applyBorder="1" applyAlignment="1" applyProtection="1">
      <alignment vertical="center" wrapText="1"/>
    </xf>
    <xf numFmtId="4" fontId="42" fillId="0" borderId="2" xfId="1" applyNumberFormat="1" applyFont="1" applyFill="1" applyBorder="1"/>
    <xf numFmtId="0" fontId="42" fillId="0" borderId="17" xfId="2" applyFont="1" applyFill="1" applyBorder="1" applyAlignment="1">
      <alignment horizontal="left" vertical="center" wrapText="1"/>
    </xf>
    <xf numFmtId="0" fontId="42" fillId="0" borderId="17" xfId="2" applyFont="1" applyFill="1" applyBorder="1" applyAlignment="1">
      <alignment horizontal="center" vertical="center" wrapText="1"/>
    </xf>
    <xf numFmtId="0" fontId="57" fillId="0" borderId="17" xfId="2" applyFont="1" applyFill="1" applyBorder="1" applyAlignment="1">
      <alignment horizontal="center" vertical="center"/>
    </xf>
    <xf numFmtId="0" fontId="57" fillId="0" borderId="0" xfId="1" applyFont="1" applyAlignment="1">
      <alignment horizontal="center"/>
    </xf>
    <xf numFmtId="0" fontId="57" fillId="0" borderId="22" xfId="1" applyFont="1" applyFill="1" applyBorder="1" applyAlignment="1">
      <alignment horizontal="center" vertical="center"/>
    </xf>
    <xf numFmtId="49" fontId="49" fillId="4" borderId="23" xfId="4" applyNumberFormat="1" applyFont="1" applyFill="1" applyBorder="1" applyAlignment="1">
      <alignment horizontal="center" vertical="center"/>
    </xf>
    <xf numFmtId="49" fontId="49" fillId="4" borderId="25" xfId="4" applyNumberFormat="1" applyFont="1" applyFill="1" applyBorder="1" applyAlignment="1">
      <alignment horizontal="center" vertical="center"/>
    </xf>
    <xf numFmtId="1" fontId="49" fillId="4" borderId="26" xfId="4" applyNumberFormat="1" applyFont="1" applyFill="1" applyBorder="1" applyAlignment="1">
      <alignment horizontal="center" vertical="center" wrapText="1"/>
    </xf>
    <xf numFmtId="1" fontId="49" fillId="4" borderId="24" xfId="4" applyNumberFormat="1" applyFont="1" applyFill="1" applyBorder="1" applyAlignment="1">
      <alignment horizontal="center" vertical="center" wrapText="1"/>
    </xf>
    <xf numFmtId="1" fontId="49" fillId="4" borderId="25" xfId="4" applyNumberFormat="1" applyFont="1" applyFill="1" applyBorder="1" applyAlignment="1">
      <alignment horizontal="center" vertical="center" wrapText="1"/>
    </xf>
    <xf numFmtId="1" fontId="49" fillId="4" borderId="24" xfId="4" applyNumberFormat="1" applyFont="1" applyFill="1" applyBorder="1" applyAlignment="1">
      <alignment horizontal="center" vertical="center"/>
    </xf>
    <xf numFmtId="165" fontId="54" fillId="3" borderId="12" xfId="4" applyNumberFormat="1" applyFont="1" applyFill="1" applyBorder="1" applyAlignment="1">
      <alignment vertical="center" shrinkToFit="1"/>
    </xf>
    <xf numFmtId="165" fontId="52" fillId="3" borderId="12" xfId="4" applyNumberFormat="1" applyFont="1" applyFill="1" applyBorder="1" applyAlignment="1">
      <alignment vertical="center" shrinkToFit="1"/>
    </xf>
    <xf numFmtId="165" fontId="52" fillId="3" borderId="12" xfId="4" applyNumberFormat="1" applyFont="1" applyFill="1" applyBorder="1" applyAlignment="1">
      <alignment horizontal="center" vertical="center" shrinkToFit="1"/>
    </xf>
    <xf numFmtId="10" fontId="54" fillId="0" borderId="10" xfId="4" applyNumberFormat="1" applyFont="1" applyFill="1" applyBorder="1" applyAlignment="1">
      <alignment vertical="center" shrinkToFit="1"/>
    </xf>
    <xf numFmtId="10" fontId="54" fillId="3" borderId="12" xfId="4" applyNumberFormat="1" applyFont="1" applyFill="1" applyBorder="1" applyAlignment="1">
      <alignment vertical="center" shrinkToFit="1"/>
    </xf>
    <xf numFmtId="10" fontId="54" fillId="3" borderId="10" xfId="4" applyNumberFormat="1" applyFont="1" applyFill="1" applyBorder="1" applyAlignment="1">
      <alignment vertical="center" shrinkToFit="1"/>
    </xf>
    <xf numFmtId="10" fontId="54" fillId="3" borderId="11" xfId="4" applyNumberFormat="1" applyFont="1" applyFill="1" applyBorder="1" applyAlignment="1">
      <alignment vertical="center" shrinkToFit="1"/>
    </xf>
    <xf numFmtId="165" fontId="54" fillId="0" borderId="10" xfId="4" applyNumberFormat="1" applyFont="1" applyFill="1" applyBorder="1" applyAlignment="1">
      <alignment horizontal="center" vertical="center" shrinkToFit="1"/>
    </xf>
    <xf numFmtId="165" fontId="52" fillId="3" borderId="16" xfId="4" applyNumberFormat="1" applyFont="1" applyFill="1" applyBorder="1" applyAlignment="1">
      <alignment horizontal="center" vertical="center" shrinkToFit="1"/>
    </xf>
    <xf numFmtId="165" fontId="52" fillId="3" borderId="14" xfId="4" applyNumberFormat="1" applyFont="1" applyFill="1" applyBorder="1" applyAlignment="1">
      <alignment horizontal="center" vertical="center" shrinkToFit="1"/>
    </xf>
    <xf numFmtId="165" fontId="52" fillId="3" borderId="15" xfId="4" applyNumberFormat="1" applyFont="1" applyFill="1" applyBorder="1" applyAlignment="1">
      <alignment horizontal="center" vertical="center" shrinkToFit="1"/>
    </xf>
    <xf numFmtId="0" fontId="42" fillId="0" borderId="22" xfId="1" applyFont="1" applyFill="1" applyBorder="1" applyAlignment="1">
      <alignment horizontal="left" vertical="center" wrapText="1"/>
    </xf>
    <xf numFmtId="0" fontId="42" fillId="0" borderId="22" xfId="1" applyFont="1" applyFill="1" applyBorder="1" applyAlignment="1">
      <alignment horizontal="center" vertical="center" wrapText="1"/>
    </xf>
    <xf numFmtId="4" fontId="57" fillId="0" borderId="22" xfId="1" applyNumberFormat="1" applyFont="1" applyFill="1" applyBorder="1" applyAlignment="1"/>
    <xf numFmtId="4" fontId="42" fillId="0" borderId="22" xfId="1" applyNumberFormat="1" applyFont="1" applyFill="1" applyBorder="1" applyAlignment="1"/>
    <xf numFmtId="0" fontId="42" fillId="0" borderId="2" xfId="1" applyFont="1" applyFill="1" applyBorder="1" applyAlignment="1">
      <alignment horizontal="left" vertical="center" wrapText="1"/>
    </xf>
    <xf numFmtId="0" fontId="42" fillId="0" borderId="2" xfId="1" applyFont="1" applyFill="1" applyBorder="1" applyAlignment="1">
      <alignment horizontal="center" vertical="center"/>
    </xf>
    <xf numFmtId="0" fontId="42" fillId="0" borderId="2" xfId="11" applyFont="1" applyFill="1" applyBorder="1" applyAlignment="1">
      <alignment vertical="center" wrapText="1"/>
    </xf>
    <xf numFmtId="0" fontId="60" fillId="0" borderId="1" xfId="0" applyFont="1" applyFill="1" applyBorder="1" applyAlignment="1">
      <alignment vertical="center" wrapText="1"/>
    </xf>
    <xf numFmtId="0" fontId="57" fillId="0" borderId="1" xfId="1" applyFont="1" applyFill="1" applyBorder="1" applyAlignment="1">
      <alignment horizontal="center"/>
    </xf>
    <xf numFmtId="0" fontId="57" fillId="2" borderId="1" xfId="1" applyFont="1" applyFill="1" applyBorder="1" applyAlignment="1">
      <alignment horizontal="center" vertical="center"/>
    </xf>
    <xf numFmtId="4" fontId="42" fillId="3" borderId="1" xfId="1" applyNumberFormat="1" applyFont="1" applyFill="1" applyBorder="1" applyAlignment="1"/>
    <xf numFmtId="164" fontId="42" fillId="0" borderId="1" xfId="1" applyNumberFormat="1" applyFont="1" applyFill="1" applyBorder="1" applyAlignment="1">
      <alignment horizontal="right"/>
    </xf>
    <xf numFmtId="4" fontId="42" fillId="0" borderId="1" xfId="1" applyNumberFormat="1" applyFont="1" applyFill="1" applyBorder="1" applyAlignment="1">
      <alignment horizontal="right" vertical="center"/>
    </xf>
    <xf numFmtId="0" fontId="42" fillId="0" borderId="2" xfId="2" applyFont="1" applyFill="1" applyBorder="1" applyAlignment="1">
      <alignment vertical="center" wrapText="1"/>
    </xf>
    <xf numFmtId="4" fontId="42" fillId="0" borderId="2" xfId="1" applyNumberFormat="1" applyFont="1" applyFill="1" applyBorder="1" applyAlignment="1">
      <alignment horizontal="right"/>
    </xf>
    <xf numFmtId="4" fontId="42" fillId="0" borderId="22" xfId="1" applyNumberFormat="1" applyFont="1" applyFill="1" applyBorder="1" applyAlignment="1">
      <alignment horizontal="right"/>
    </xf>
    <xf numFmtId="0" fontId="62" fillId="0" borderId="0" xfId="1" applyFont="1" applyFill="1"/>
    <xf numFmtId="0" fontId="60" fillId="0" borderId="0" xfId="1" applyFont="1" applyFill="1"/>
    <xf numFmtId="0" fontId="42" fillId="0" borderId="2" xfId="2" applyFont="1" applyFill="1" applyBorder="1" applyAlignment="1">
      <alignment horizontal="left" vertical="center" wrapText="1"/>
    </xf>
    <xf numFmtId="0" fontId="42" fillId="0" borderId="4" xfId="1" applyFont="1" applyFill="1" applyBorder="1" applyAlignment="1">
      <alignment horizontal="center" vertical="center" wrapText="1"/>
    </xf>
    <xf numFmtId="164" fontId="42" fillId="0" borderId="2" xfId="1" applyNumberFormat="1" applyFont="1" applyFill="1" applyBorder="1" applyAlignment="1"/>
    <xf numFmtId="0" fontId="56" fillId="0" borderId="0" xfId="1" applyFont="1" applyFill="1" applyAlignment="1">
      <alignment vertical="center"/>
    </xf>
    <xf numFmtId="0" fontId="42" fillId="0" borderId="0" xfId="1" applyFont="1" applyFill="1" applyAlignment="1">
      <alignment horizontal="center"/>
    </xf>
    <xf numFmtId="0" fontId="57" fillId="0" borderId="0" xfId="1" applyFont="1" applyFill="1" applyAlignment="1">
      <alignment vertical="center"/>
    </xf>
    <xf numFmtId="0" fontId="42" fillId="0" borderId="5" xfId="1" applyFont="1" applyFill="1" applyBorder="1" applyAlignment="1">
      <alignment horizontal="left" vertical="center" wrapText="1"/>
    </xf>
    <xf numFmtId="0" fontId="42" fillId="0" borderId="5" xfId="1" applyFont="1" applyFill="1" applyBorder="1" applyAlignment="1">
      <alignment horizontal="center" vertical="center" wrapText="1"/>
    </xf>
    <xf numFmtId="0" fontId="57" fillId="0" borderId="5" xfId="1" applyFont="1" applyFill="1" applyBorder="1" applyAlignment="1">
      <alignment horizontal="center" vertical="center"/>
    </xf>
    <xf numFmtId="4" fontId="42" fillId="0" borderId="5" xfId="1" applyNumberFormat="1" applyFont="1" applyFill="1" applyBorder="1" applyAlignment="1"/>
    <xf numFmtId="4" fontId="42" fillId="0" borderId="22" xfId="1" applyNumberFormat="1" applyFont="1" applyFill="1" applyBorder="1"/>
    <xf numFmtId="4" fontId="42" fillId="0" borderId="17" xfId="2" applyNumberFormat="1" applyFont="1" applyFill="1" applyBorder="1" applyAlignment="1"/>
    <xf numFmtId="0" fontId="42" fillId="0" borderId="22" xfId="2" applyFont="1" applyFill="1" applyBorder="1" applyAlignment="1" applyProtection="1">
      <alignment horizontal="left" vertical="center" wrapText="1"/>
    </xf>
    <xf numFmtId="4" fontId="57" fillId="0" borderId="22" xfId="1" applyNumberFormat="1" applyFont="1" applyFill="1" applyBorder="1"/>
    <xf numFmtId="0" fontId="61" fillId="0" borderId="0" xfId="110" applyFont="1" applyProtection="1">
      <protection locked="0"/>
    </xf>
    <xf numFmtId="0" fontId="48" fillId="0" borderId="0" xfId="110" applyFont="1" applyProtection="1">
      <protection locked="0"/>
    </xf>
    <xf numFmtId="0" fontId="43" fillId="0" borderId="0" xfId="110"/>
    <xf numFmtId="0" fontId="48" fillId="0" borderId="0" xfId="110" applyFont="1"/>
    <xf numFmtId="0" fontId="50" fillId="0" borderId="8" xfId="110" applyFont="1" applyBorder="1" applyAlignment="1" applyProtection="1">
      <alignment vertical="center" wrapText="1"/>
      <protection locked="0"/>
    </xf>
    <xf numFmtId="0" fontId="53" fillId="0" borderId="9" xfId="110" applyFont="1" applyBorder="1" applyAlignment="1">
      <alignment horizontal="left" vertical="center"/>
    </xf>
    <xf numFmtId="0" fontId="53" fillId="0" borderId="11" xfId="110" applyFont="1" applyBorder="1" applyAlignment="1">
      <alignment horizontal="left" vertical="center" wrapText="1" indent="2"/>
    </xf>
    <xf numFmtId="0" fontId="53" fillId="0" borderId="11" xfId="110" applyFont="1" applyBorder="1" applyAlignment="1">
      <alignment horizontal="left" vertical="center" wrapText="1" indent="4"/>
    </xf>
    <xf numFmtId="0" fontId="51" fillId="0" borderId="9" xfId="110" applyFont="1" applyBorder="1" applyAlignment="1">
      <alignment horizontal="left" vertical="center"/>
    </xf>
    <xf numFmtId="0" fontId="51" fillId="0" borderId="11" xfId="110" applyFont="1" applyBorder="1" applyAlignment="1">
      <alignment vertical="center" wrapText="1"/>
    </xf>
    <xf numFmtId="0" fontId="51" fillId="0" borderId="9" xfId="110" quotePrefix="1" applyFont="1" applyBorder="1" applyAlignment="1">
      <alignment horizontal="left" vertical="center"/>
    </xf>
    <xf numFmtId="0" fontId="53" fillId="0" borderId="9" xfId="110" applyFont="1" applyBorder="1" applyAlignment="1" applyProtection="1">
      <alignment horizontal="left" vertical="center"/>
      <protection locked="0"/>
    </xf>
    <xf numFmtId="10" fontId="54" fillId="0" borderId="10" xfId="125" applyNumberFormat="1" applyFont="1" applyFill="1" applyBorder="1" applyAlignment="1">
      <alignment vertical="center" shrinkToFit="1"/>
    </xf>
    <xf numFmtId="0" fontId="53" fillId="0" borderId="13" xfId="110" applyFont="1" applyBorder="1" applyAlignment="1">
      <alignment horizontal="left" vertical="center"/>
    </xf>
    <xf numFmtId="10" fontId="54" fillId="0" borderId="14" xfId="125" applyNumberFormat="1" applyFont="1" applyFill="1" applyBorder="1" applyAlignment="1">
      <alignment vertical="center" shrinkToFit="1"/>
    </xf>
    <xf numFmtId="0" fontId="48" fillId="0" borderId="0" xfId="110" applyFont="1" applyBorder="1" applyAlignment="1" applyProtection="1">
      <alignment vertical="center"/>
      <protection locked="0"/>
    </xf>
    <xf numFmtId="0" fontId="96" fillId="0" borderId="1" xfId="1" applyFont="1" applyFill="1" applyBorder="1" applyAlignment="1">
      <alignment horizontal="center" vertical="center"/>
    </xf>
    <xf numFmtId="0" fontId="96" fillId="0" borderId="5" xfId="1" applyFont="1" applyFill="1" applyBorder="1" applyAlignment="1">
      <alignment horizontal="center" vertical="center"/>
    </xf>
    <xf numFmtId="0" fontId="60" fillId="0" borderId="5" xfId="1" applyFont="1" applyFill="1" applyBorder="1" applyAlignment="1">
      <alignment horizontal="left" vertical="center" wrapText="1"/>
    </xf>
    <xf numFmtId="0" fontId="60" fillId="0" borderId="5" xfId="1" applyFont="1" applyFill="1" applyBorder="1" applyAlignment="1">
      <alignment horizontal="center" vertical="center" wrapText="1"/>
    </xf>
    <xf numFmtId="4" fontId="60" fillId="0" borderId="5" xfId="1" applyNumberFormat="1" applyFont="1" applyFill="1" applyBorder="1" applyAlignment="1"/>
    <xf numFmtId="0" fontId="42" fillId="0" borderId="1" xfId="1" applyFont="1" applyFill="1" applyBorder="1" applyAlignment="1">
      <alignment horizontal="center" vertical="center"/>
    </xf>
    <xf numFmtId="165" fontId="52" fillId="0" borderId="12" xfId="4" applyNumberFormat="1" applyFont="1" applyFill="1" applyBorder="1" applyAlignment="1">
      <alignment vertical="center" shrinkToFit="1"/>
    </xf>
    <xf numFmtId="10" fontId="54" fillId="0" borderId="12" xfId="4" applyNumberFormat="1" applyFont="1" applyFill="1" applyBorder="1" applyAlignment="1">
      <alignment vertical="center" shrinkToFit="1"/>
    </xf>
    <xf numFmtId="165" fontId="54" fillId="0" borderId="12" xfId="4" applyNumberFormat="1" applyFont="1" applyFill="1" applyBorder="1" applyAlignment="1">
      <alignment horizontal="center" vertical="center" shrinkToFit="1"/>
    </xf>
    <xf numFmtId="10" fontId="54" fillId="0" borderId="12" xfId="125" applyNumberFormat="1" applyFont="1" applyFill="1" applyBorder="1" applyAlignment="1">
      <alignment vertical="center" shrinkToFit="1"/>
    </xf>
    <xf numFmtId="10" fontId="54" fillId="0" borderId="16" xfId="125" applyNumberFormat="1" applyFont="1" applyFill="1" applyBorder="1" applyAlignment="1">
      <alignment vertical="center" shrinkToFit="1"/>
    </xf>
    <xf numFmtId="1" fontId="49" fillId="4" borderId="26" xfId="4" applyNumberFormat="1" applyFont="1" applyFill="1" applyBorder="1" applyAlignment="1">
      <alignment horizontal="center" vertical="center"/>
    </xf>
    <xf numFmtId="0" fontId="50" fillId="0" borderId="0" xfId="110" applyFont="1" applyBorder="1" applyAlignment="1" applyProtection="1">
      <alignment horizontal="left" vertical="center"/>
      <protection locked="0"/>
    </xf>
    <xf numFmtId="0" fontId="51" fillId="0" borderId="27" xfId="110" applyFont="1" applyBorder="1" applyAlignment="1">
      <alignment horizontal="left" vertical="center"/>
    </xf>
    <xf numFmtId="0" fontId="51" fillId="0" borderId="29" xfId="110" applyFont="1" applyBorder="1" applyAlignment="1">
      <alignment vertical="center" wrapText="1"/>
    </xf>
    <xf numFmtId="165" fontId="52" fillId="3" borderId="30" xfId="4" applyNumberFormat="1" applyFont="1" applyFill="1" applyBorder="1" applyAlignment="1">
      <alignment vertical="center" shrinkToFit="1"/>
    </xf>
    <xf numFmtId="165" fontId="52" fillId="3" borderId="28" xfId="4" applyNumberFormat="1" applyFont="1" applyFill="1" applyBorder="1" applyAlignment="1">
      <alignment vertical="center" shrinkToFit="1"/>
    </xf>
    <xf numFmtId="165" fontId="52" fillId="3" borderId="29" xfId="4" applyNumberFormat="1" applyFont="1" applyFill="1" applyBorder="1" applyAlignment="1">
      <alignment vertical="center" shrinkToFit="1"/>
    </xf>
    <xf numFmtId="165" fontId="52" fillId="0" borderId="30" xfId="4" applyNumberFormat="1" applyFont="1" applyFill="1" applyBorder="1" applyAlignment="1">
      <alignment vertical="center" shrinkToFit="1"/>
    </xf>
    <xf numFmtId="165" fontId="52" fillId="0" borderId="28" xfId="4" applyNumberFormat="1" applyFont="1" applyFill="1" applyBorder="1" applyAlignment="1">
      <alignment vertical="center" shrinkToFit="1"/>
    </xf>
    <xf numFmtId="0" fontId="57" fillId="2" borderId="1" xfId="1" applyFont="1" applyFill="1" applyBorder="1" applyAlignment="1">
      <alignment horizontal="center" vertical="center" wrapText="1"/>
    </xf>
    <xf numFmtId="0" fontId="57" fillId="0" borderId="22" xfId="1" applyFont="1" applyFill="1" applyBorder="1" applyAlignment="1">
      <alignment horizontal="center" vertical="center" wrapText="1"/>
    </xf>
    <xf numFmtId="4" fontId="57" fillId="0" borderId="22" xfId="1" applyNumberFormat="1" applyFont="1" applyFill="1" applyBorder="1" applyAlignment="1">
      <alignment horizontal="right" vertical="center" wrapText="1"/>
    </xf>
    <xf numFmtId="0" fontId="42" fillId="0" borderId="31" xfId="1" applyFont="1" applyFill="1" applyBorder="1" applyAlignment="1">
      <alignment vertical="center" wrapText="1"/>
    </xf>
    <xf numFmtId="4" fontId="42" fillId="0" borderId="22" xfId="1" applyNumberFormat="1" applyFont="1" applyFill="1" applyBorder="1" applyAlignment="1">
      <alignment horizontal="right" vertical="center" wrapText="1"/>
    </xf>
    <xf numFmtId="0" fontId="42" fillId="0" borderId="0" xfId="1" applyFont="1" applyFill="1" applyAlignment="1">
      <alignment horizontal="right"/>
    </xf>
    <xf numFmtId="0" fontId="60" fillId="0" borderId="1" xfId="0" applyFont="1" applyFill="1" applyBorder="1" applyAlignment="1">
      <alignment horizontal="left" vertical="center" wrapText="1"/>
    </xf>
    <xf numFmtId="0" fontId="57" fillId="0" borderId="0" xfId="1" applyFont="1" applyFill="1" applyAlignment="1">
      <alignment horizontal="center"/>
    </xf>
    <xf numFmtId="0" fontId="57" fillId="0" borderId="20" xfId="1" applyFont="1" applyFill="1" applyBorder="1" applyAlignment="1">
      <alignment horizontal="center"/>
    </xf>
    <xf numFmtId="0" fontId="57" fillId="0" borderId="20" xfId="2" applyFont="1" applyFill="1" applyBorder="1" applyAlignment="1">
      <alignment horizontal="center" vertical="center"/>
    </xf>
    <xf numFmtId="4" fontId="57" fillId="0" borderId="20" xfId="1" applyNumberFormat="1" applyFont="1" applyFill="1" applyBorder="1" applyAlignment="1"/>
    <xf numFmtId="0" fontId="57" fillId="0" borderId="22" xfId="1" applyFont="1" applyFill="1" applyBorder="1" applyAlignment="1">
      <alignment horizontal="center"/>
    </xf>
    <xf numFmtId="0" fontId="42" fillId="0" borderId="22" xfId="2" applyFont="1" applyFill="1" applyBorder="1" applyAlignment="1" applyProtection="1">
      <alignment vertical="center" wrapText="1"/>
    </xf>
    <xf numFmtId="0" fontId="42" fillId="0" borderId="21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vertical="center" wrapText="1"/>
    </xf>
    <xf numFmtId="0" fontId="62" fillId="0" borderId="0" xfId="1" applyFont="1" applyFill="1" applyAlignment="1">
      <alignment vertical="center"/>
    </xf>
    <xf numFmtId="0" fontId="42" fillId="0" borderId="18" xfId="11" applyFont="1" applyFill="1" applyBorder="1" applyAlignment="1" applyProtection="1">
      <alignment vertical="center" wrapText="1"/>
    </xf>
    <xf numFmtId="0" fontId="42" fillId="0" borderId="19" xfId="2" applyFont="1" applyFill="1" applyBorder="1" applyAlignment="1">
      <alignment horizontal="center" vertical="center" wrapText="1"/>
    </xf>
    <xf numFmtId="4" fontId="42" fillId="0" borderId="20" xfId="1" applyNumberFormat="1" applyFont="1" applyFill="1" applyBorder="1"/>
    <xf numFmtId="0" fontId="42" fillId="0" borderId="20" xfId="1" applyFont="1" applyFill="1" applyBorder="1"/>
    <xf numFmtId="0" fontId="42" fillId="0" borderId="20" xfId="2" applyFont="1" applyFill="1" applyBorder="1" applyAlignment="1">
      <alignment horizontal="center" vertical="center" wrapText="1"/>
    </xf>
    <xf numFmtId="0" fontId="42" fillId="0" borderId="20" xfId="2" applyFont="1" applyFill="1" applyBorder="1" applyAlignment="1">
      <alignment horizontal="left" vertical="center" wrapText="1"/>
    </xf>
    <xf numFmtId="4" fontId="42" fillId="0" borderId="20" xfId="2" applyNumberFormat="1" applyFont="1" applyFill="1" applyBorder="1" applyAlignment="1"/>
    <xf numFmtId="0" fontId="60" fillId="0" borderId="22" xfId="0" applyFont="1" applyFill="1" applyBorder="1" applyAlignment="1">
      <alignment horizontal="left" vertical="center" wrapText="1"/>
    </xf>
    <xf numFmtId="4" fontId="96" fillId="0" borderId="5" xfId="1" applyNumberFormat="1" applyFont="1" applyFill="1" applyBorder="1" applyAlignment="1"/>
    <xf numFmtId="0" fontId="97" fillId="0" borderId="0" xfId="110" applyFont="1" applyBorder="1" applyProtection="1">
      <protection locked="0"/>
    </xf>
    <xf numFmtId="0" fontId="53" fillId="0" borderId="11" xfId="110" applyFont="1" applyBorder="1" applyAlignment="1">
      <alignment horizontal="left" vertical="center" wrapText="1" indent="1"/>
    </xf>
    <xf numFmtId="0" fontId="53" fillId="0" borderId="11" xfId="110" applyFont="1" applyBorder="1" applyAlignment="1">
      <alignment horizontal="left" vertical="center" wrapText="1" indent="3"/>
    </xf>
    <xf numFmtId="0" fontId="53" fillId="0" borderId="11" xfId="110" applyFont="1" applyBorder="1" applyAlignment="1" applyProtection="1">
      <alignment horizontal="left" vertical="center" wrapText="1" indent="1"/>
      <protection locked="0"/>
    </xf>
    <xf numFmtId="0" fontId="53" fillId="0" borderId="11" xfId="110" quotePrefix="1" applyFont="1" applyBorder="1" applyAlignment="1">
      <alignment horizontal="left" vertical="center" wrapText="1" indent="1"/>
    </xf>
    <xf numFmtId="0" fontId="53" fillId="0" borderId="15" xfId="110" applyFont="1" applyBorder="1" applyAlignment="1">
      <alignment horizontal="left" vertical="center" wrapText="1" indent="1"/>
    </xf>
    <xf numFmtId="0" fontId="49" fillId="0" borderId="8" xfId="110" applyFont="1" applyBorder="1" applyAlignment="1" applyProtection="1">
      <alignment horizontal="center" vertical="center" wrapText="1"/>
      <protection locked="0"/>
    </xf>
    <xf numFmtId="0" fontId="99" fillId="58" borderId="1" xfId="1" applyFont="1" applyFill="1" applyBorder="1" applyAlignment="1">
      <alignment horizontal="center" vertical="center"/>
    </xf>
    <xf numFmtId="0" fontId="99" fillId="58" borderId="20" xfId="0" applyFont="1" applyFill="1" applyBorder="1" applyAlignment="1">
      <alignment vertical="center" wrapText="1"/>
    </xf>
    <xf numFmtId="0" fontId="99" fillId="58" borderId="20" xfId="2" applyFont="1" applyFill="1" applyBorder="1" applyAlignment="1">
      <alignment horizontal="center" vertical="center" wrapText="1"/>
    </xf>
    <xf numFmtId="0" fontId="99" fillId="58" borderId="20" xfId="1" applyFont="1" applyFill="1" applyBorder="1" applyAlignment="1">
      <alignment horizontal="center"/>
    </xf>
    <xf numFmtId="4" fontId="99" fillId="58" borderId="20" xfId="1" applyNumberFormat="1" applyFont="1" applyFill="1" applyBorder="1"/>
    <xf numFmtId="4" fontId="99" fillId="58" borderId="1" xfId="1" applyNumberFormat="1" applyFont="1" applyFill="1" applyBorder="1" applyAlignment="1"/>
    <xf numFmtId="0" fontId="48" fillId="0" borderId="0" xfId="110" applyFont="1" applyBorder="1"/>
    <xf numFmtId="0" fontId="49" fillId="0" borderId="8" xfId="110" applyFont="1" applyBorder="1" applyAlignment="1" applyProtection="1">
      <alignment horizontal="center" vertical="center" wrapText="1"/>
      <protection locked="0"/>
    </xf>
    <xf numFmtId="0" fontId="47" fillId="0" borderId="0" xfId="3" applyFont="1" applyAlignment="1">
      <alignment horizontal="center"/>
    </xf>
    <xf numFmtId="0" fontId="57" fillId="3" borderId="31" xfId="1" applyFont="1" applyFill="1" applyBorder="1" applyAlignment="1">
      <alignment horizontal="left" vertical="center" wrapText="1"/>
    </xf>
    <xf numFmtId="0" fontId="57" fillId="3" borderId="32" xfId="1" applyFont="1" applyFill="1" applyBorder="1" applyAlignment="1">
      <alignment horizontal="left" vertical="center" wrapText="1"/>
    </xf>
    <xf numFmtId="0" fontId="57" fillId="3" borderId="21" xfId="1" applyFont="1" applyFill="1" applyBorder="1" applyAlignment="1">
      <alignment horizontal="left" vertical="center" wrapText="1"/>
    </xf>
    <xf numFmtId="0" fontId="57" fillId="3" borderId="1" xfId="1" applyFont="1" applyFill="1" applyBorder="1" applyAlignment="1">
      <alignment horizontal="left" vertical="center" wrapText="1"/>
    </xf>
    <xf numFmtId="0" fontId="55" fillId="0" borderId="0" xfId="1" applyFont="1" applyAlignment="1">
      <alignment horizontal="center" vertical="center"/>
    </xf>
    <xf numFmtId="0" fontId="57" fillId="2" borderId="1" xfId="1" applyFont="1" applyFill="1" applyBorder="1" applyAlignment="1">
      <alignment horizontal="center" vertical="center" wrapText="1"/>
    </xf>
    <xf numFmtId="0" fontId="57" fillId="2" borderId="31" xfId="1" applyFont="1" applyFill="1" applyBorder="1" applyAlignment="1">
      <alignment horizontal="center" vertical="center"/>
    </xf>
    <xf numFmtId="0" fontId="57" fillId="2" borderId="32" xfId="1" applyFont="1" applyFill="1" applyBorder="1" applyAlignment="1">
      <alignment horizontal="center" vertical="center"/>
    </xf>
    <xf numFmtId="0" fontId="57" fillId="2" borderId="21" xfId="1" applyFont="1" applyFill="1" applyBorder="1" applyAlignment="1">
      <alignment horizontal="center" vertical="center"/>
    </xf>
  </cellXfs>
  <cellStyles count="151">
    <cellStyle name="20% - akcent 1 2" xfId="42"/>
    <cellStyle name="20% - akcent 1 3" xfId="43"/>
    <cellStyle name="20% - akcent 2 2" xfId="44"/>
    <cellStyle name="20% - akcent 2 3" xfId="45"/>
    <cellStyle name="20% - akcent 3 2" xfId="46"/>
    <cellStyle name="20% - akcent 3 3" xfId="47"/>
    <cellStyle name="20% - akcent 4 2" xfId="48"/>
    <cellStyle name="20% - akcent 4 3" xfId="49"/>
    <cellStyle name="20% - akcent 5 2" xfId="50"/>
    <cellStyle name="20% - akcent 5 3" xfId="51"/>
    <cellStyle name="20% - akcent 6 2" xfId="52"/>
    <cellStyle name="20% - akcent 6 3" xfId="53"/>
    <cellStyle name="40% - akcent 1 2" xfId="54"/>
    <cellStyle name="40% - akcent 1 3" xfId="55"/>
    <cellStyle name="40% - akcent 2 2" xfId="56"/>
    <cellStyle name="40% - akcent 2 3" xfId="57"/>
    <cellStyle name="40% - akcent 3 2" xfId="58"/>
    <cellStyle name="40% - akcent 3 3" xfId="59"/>
    <cellStyle name="40% - akcent 4 2" xfId="60"/>
    <cellStyle name="40% - akcent 4 3" xfId="61"/>
    <cellStyle name="40% - akcent 5 2" xfId="62"/>
    <cellStyle name="40% - akcent 5 3" xfId="63"/>
    <cellStyle name="40% - akcent 6 2" xfId="64"/>
    <cellStyle name="40% - akcent 6 3" xfId="65"/>
    <cellStyle name="60% - akcent 1 2" xfId="66"/>
    <cellStyle name="60% - akcent 1 3" xfId="67"/>
    <cellStyle name="60% - akcent 2 2" xfId="68"/>
    <cellStyle name="60% - akcent 2 3" xfId="69"/>
    <cellStyle name="60% - akcent 3 2" xfId="70"/>
    <cellStyle name="60% - akcent 3 3" xfId="71"/>
    <cellStyle name="60% - akcent 4 2" xfId="72"/>
    <cellStyle name="60% - akcent 4 3" xfId="73"/>
    <cellStyle name="60% - akcent 5 2" xfId="74"/>
    <cellStyle name="60% - akcent 5 3" xfId="75"/>
    <cellStyle name="60% - akcent 6 2" xfId="76"/>
    <cellStyle name="60% - akcent 6 3" xfId="77"/>
    <cellStyle name="Akcent 1 2" xfId="78"/>
    <cellStyle name="Akcent 1 3" xfId="79"/>
    <cellStyle name="Akcent 2 2" xfId="80"/>
    <cellStyle name="Akcent 2 3" xfId="81"/>
    <cellStyle name="Akcent 3 2" xfId="82"/>
    <cellStyle name="Akcent 3 3" xfId="83"/>
    <cellStyle name="Akcent 4 2" xfId="84"/>
    <cellStyle name="Akcent 4 3" xfId="85"/>
    <cellStyle name="Akcent 5 2" xfId="86"/>
    <cellStyle name="Akcent 5 3" xfId="87"/>
    <cellStyle name="Akcent 6 2" xfId="88"/>
    <cellStyle name="Akcent 6 3" xfId="89"/>
    <cellStyle name="Dane wejściowe 2" xfId="90"/>
    <cellStyle name="Dane wejściowe 3" xfId="91"/>
    <cellStyle name="Dane wyjściowe 2" xfId="92"/>
    <cellStyle name="Dane wyjściowe 3" xfId="93"/>
    <cellStyle name="Dobre 2" xfId="94"/>
    <cellStyle name="Dobre 3" xfId="95"/>
    <cellStyle name="Komórka połączona 2" xfId="96"/>
    <cellStyle name="Komórka połączona 3" xfId="97"/>
    <cellStyle name="Komórka zaznaczona 2" xfId="98"/>
    <cellStyle name="Komórka zaznaczona 3" xfId="99"/>
    <cellStyle name="Nagłówek 1 2" xfId="100"/>
    <cellStyle name="Nagłówek 1 3" xfId="101"/>
    <cellStyle name="Nagłówek 2 2" xfId="102"/>
    <cellStyle name="Nagłówek 2 3" xfId="103"/>
    <cellStyle name="Nagłówek 3 2" xfId="104"/>
    <cellStyle name="Nagłówek 3 3" xfId="105"/>
    <cellStyle name="Nagłówek 4 2" xfId="106"/>
    <cellStyle name="Nagłówek 4 3" xfId="107"/>
    <cellStyle name="Neutralne 2" xfId="108"/>
    <cellStyle name="Neutralne 3" xfId="109"/>
    <cellStyle name="Normalny" xfId="0" builtinId="0"/>
    <cellStyle name="Normalny 2" xfId="1"/>
    <cellStyle name="Normalny 2 2" xfId="23"/>
    <cellStyle name="Normalny 2 2 2" xfId="2"/>
    <cellStyle name="Normalny 2 2 3" xfId="110"/>
    <cellStyle name="Normalny 2 3" xfId="111"/>
    <cellStyle name="Normalny 2 4" xfId="11"/>
    <cellStyle name="Normalny 2 4 2" xfId="112"/>
    <cellStyle name="Normalny 2 5" xfId="113"/>
    <cellStyle name="Normalny 2 6" xfId="114"/>
    <cellStyle name="Normalny 2 7" xfId="115"/>
    <cellStyle name="Normalny 3" xfId="3"/>
    <cellStyle name="Normalny 3 2" xfId="116"/>
    <cellStyle name="Normalny 4" xfId="117"/>
    <cellStyle name="Normalny 5" xfId="118"/>
    <cellStyle name="Normalny 6" xfId="119"/>
    <cellStyle name="Normalny 6 2" xfId="4"/>
    <cellStyle name="Normalny 7" xfId="120"/>
    <cellStyle name="Normalny 7 2" xfId="121"/>
    <cellStyle name="Normalny 8" xfId="7"/>
    <cellStyle name="Normalny 8 10" xfId="17"/>
    <cellStyle name="Normalny 8 11" xfId="18"/>
    <cellStyle name="Normalny 8 12" xfId="19"/>
    <cellStyle name="Normalny 8 13" xfId="20"/>
    <cellStyle name="Normalny 8 14" xfId="21"/>
    <cellStyle name="Normalny 8 15" xfId="22"/>
    <cellStyle name="Normalny 8 16" xfId="24"/>
    <cellStyle name="Normalny 8 17" xfId="25"/>
    <cellStyle name="Normalny 8 18" xfId="26"/>
    <cellStyle name="Normalny 8 19" xfId="27"/>
    <cellStyle name="Normalny 8 2" xfId="8"/>
    <cellStyle name="Normalny 8 20" xfId="28"/>
    <cellStyle name="Normalny 8 21" xfId="29"/>
    <cellStyle name="Normalny 8 22" xfId="30"/>
    <cellStyle name="Normalny 8 23" xfId="31"/>
    <cellStyle name="Normalny 8 24" xfId="32"/>
    <cellStyle name="Normalny 8 25" xfId="33"/>
    <cellStyle name="Normalny 8 26" xfId="34"/>
    <cellStyle name="Normalny 8 27" xfId="35"/>
    <cellStyle name="Normalny 8 28" xfId="36"/>
    <cellStyle name="Normalny 8 29" xfId="37"/>
    <cellStyle name="Normalny 8 3" xfId="9"/>
    <cellStyle name="Normalny 8 30" xfId="38"/>
    <cellStyle name="Normalny 8 31" xfId="39"/>
    <cellStyle name="Normalny 8 32" xfId="40"/>
    <cellStyle name="Normalny 8 33" xfId="41"/>
    <cellStyle name="Normalny 8 34" xfId="122"/>
    <cellStyle name="Normalny 8 35" xfId="144"/>
    <cellStyle name="Normalny 8 36" xfId="145"/>
    <cellStyle name="Normalny 8 37" xfId="146"/>
    <cellStyle name="Normalny 8 38" xfId="147"/>
    <cellStyle name="Normalny 8 39" xfId="148"/>
    <cellStyle name="Normalny 8 4" xfId="10"/>
    <cellStyle name="Normalny 8 40" xfId="149"/>
    <cellStyle name="Normalny 8 41" xfId="150"/>
    <cellStyle name="Normalny 8 5" xfId="12"/>
    <cellStyle name="Normalny 8 6" xfId="13"/>
    <cellStyle name="Normalny 8 7" xfId="14"/>
    <cellStyle name="Normalny 8 8" xfId="15"/>
    <cellStyle name="Normalny 8 9" xfId="16"/>
    <cellStyle name="Normalny 9" xfId="5"/>
    <cellStyle name="Obliczenia 2" xfId="123"/>
    <cellStyle name="Obliczenia 3" xfId="124"/>
    <cellStyle name="Procentowy 2" xfId="125"/>
    <cellStyle name="Procentowy 2 2" xfId="6"/>
    <cellStyle name="Procentowy 2 3" xfId="126"/>
    <cellStyle name="Procentowy 3" xfId="127"/>
    <cellStyle name="Procentowy 3 2" xfId="128"/>
    <cellStyle name="Procentowy 4" xfId="129"/>
    <cellStyle name="Procentowy 5" xfId="130"/>
    <cellStyle name="Procentowy 6" xfId="131"/>
    <cellStyle name="Suma 2" xfId="132"/>
    <cellStyle name="Suma 3" xfId="133"/>
    <cellStyle name="Tekst objaśnienia 2" xfId="134"/>
    <cellStyle name="Tekst objaśnienia 3" xfId="135"/>
    <cellStyle name="Tekst ostrzeżenia 2" xfId="136"/>
    <cellStyle name="Tekst ostrzeżenia 3" xfId="137"/>
    <cellStyle name="Tytuł 2" xfId="139"/>
    <cellStyle name="Tytuł 3" xfId="138"/>
    <cellStyle name="Uwaga 2" xfId="140"/>
    <cellStyle name="Uwaga 3" xfId="141"/>
    <cellStyle name="Złe 2" xfId="142"/>
    <cellStyle name="Złe 3" xfId="143"/>
  </cellStyles>
  <dxfs count="2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Medium9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6bc1d80493e4b03af0549a359d3256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dc03ddaa974343b1da40e471b84874_26_08_20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or&#243;wnanie_31_10_20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2">
          <cell r="N2">
            <v>2033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2020-09-01a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50"/>
    <outlinePr summaryBelow="0"/>
  </sheetPr>
  <dimension ref="A1:T115"/>
  <sheetViews>
    <sheetView zoomScaleNormal="100" zoomScaleSheetLayoutView="100" workbookViewId="0">
      <pane xSplit="2" ySplit="3" topLeftCell="C76" activePane="bottomRight" state="frozen"/>
      <selection activeCell="A29" sqref="A29:IV29"/>
      <selection pane="topRight" activeCell="A29" sqref="A29:IV29"/>
      <selection pane="bottomLeft" activeCell="A29" sqref="A29:IV29"/>
      <selection pane="bottomRight" activeCell="M26" sqref="M26"/>
    </sheetView>
  </sheetViews>
  <sheetFormatPr defaultRowHeight="14.25"/>
  <cols>
    <col min="1" max="1" width="7.5703125" style="121" customWidth="1"/>
    <col min="2" max="2" width="36.7109375" style="121" customWidth="1"/>
    <col min="3" max="20" width="11.7109375" style="121" customWidth="1"/>
    <col min="21" max="225" width="9.140625" style="120"/>
    <col min="226" max="227" width="4.85546875" style="120" customWidth="1"/>
    <col min="228" max="228" width="7.5703125" style="120" customWidth="1"/>
    <col min="229" max="229" width="0" style="120" hidden="1" customWidth="1"/>
    <col min="230" max="230" width="63.7109375" style="120" customWidth="1"/>
    <col min="231" max="234" width="0" style="120" hidden="1" customWidth="1"/>
    <col min="235" max="274" width="16" style="120" customWidth="1"/>
    <col min="275" max="481" width="9.140625" style="120"/>
    <col min="482" max="483" width="4.85546875" style="120" customWidth="1"/>
    <col min="484" max="484" width="7.5703125" style="120" customWidth="1"/>
    <col min="485" max="485" width="0" style="120" hidden="1" customWidth="1"/>
    <col min="486" max="486" width="63.7109375" style="120" customWidth="1"/>
    <col min="487" max="490" width="0" style="120" hidden="1" customWidth="1"/>
    <col min="491" max="530" width="16" style="120" customWidth="1"/>
    <col min="531" max="737" width="9.140625" style="120"/>
    <col min="738" max="739" width="4.85546875" style="120" customWidth="1"/>
    <col min="740" max="740" width="7.5703125" style="120" customWidth="1"/>
    <col min="741" max="741" width="0" style="120" hidden="1" customWidth="1"/>
    <col min="742" max="742" width="63.7109375" style="120" customWidth="1"/>
    <col min="743" max="746" width="0" style="120" hidden="1" customWidth="1"/>
    <col min="747" max="786" width="16" style="120" customWidth="1"/>
    <col min="787" max="993" width="9.140625" style="120"/>
    <col min="994" max="995" width="4.85546875" style="120" customWidth="1"/>
    <col min="996" max="996" width="7.5703125" style="120" customWidth="1"/>
    <col min="997" max="997" width="0" style="120" hidden="1" customWidth="1"/>
    <col min="998" max="998" width="63.7109375" style="120" customWidth="1"/>
    <col min="999" max="1002" width="0" style="120" hidden="1" customWidth="1"/>
    <col min="1003" max="1042" width="16" style="120" customWidth="1"/>
    <col min="1043" max="1249" width="9.140625" style="120"/>
    <col min="1250" max="1251" width="4.85546875" style="120" customWidth="1"/>
    <col min="1252" max="1252" width="7.5703125" style="120" customWidth="1"/>
    <col min="1253" max="1253" width="0" style="120" hidden="1" customWidth="1"/>
    <col min="1254" max="1254" width="63.7109375" style="120" customWidth="1"/>
    <col min="1255" max="1258" width="0" style="120" hidden="1" customWidth="1"/>
    <col min="1259" max="1298" width="16" style="120" customWidth="1"/>
    <col min="1299" max="1505" width="9.140625" style="120"/>
    <col min="1506" max="1507" width="4.85546875" style="120" customWidth="1"/>
    <col min="1508" max="1508" width="7.5703125" style="120" customWidth="1"/>
    <col min="1509" max="1509" width="0" style="120" hidden="1" customWidth="1"/>
    <col min="1510" max="1510" width="63.7109375" style="120" customWidth="1"/>
    <col min="1511" max="1514" width="0" style="120" hidden="1" customWidth="1"/>
    <col min="1515" max="1554" width="16" style="120" customWidth="1"/>
    <col min="1555" max="1761" width="9.140625" style="120"/>
    <col min="1762" max="1763" width="4.85546875" style="120" customWidth="1"/>
    <col min="1764" max="1764" width="7.5703125" style="120" customWidth="1"/>
    <col min="1765" max="1765" width="0" style="120" hidden="1" customWidth="1"/>
    <col min="1766" max="1766" width="63.7109375" style="120" customWidth="1"/>
    <col min="1767" max="1770" width="0" style="120" hidden="1" customWidth="1"/>
    <col min="1771" max="1810" width="16" style="120" customWidth="1"/>
    <col min="1811" max="2017" width="9.140625" style="120"/>
    <col min="2018" max="2019" width="4.85546875" style="120" customWidth="1"/>
    <col min="2020" max="2020" width="7.5703125" style="120" customWidth="1"/>
    <col min="2021" max="2021" width="0" style="120" hidden="1" customWidth="1"/>
    <col min="2022" max="2022" width="63.7109375" style="120" customWidth="1"/>
    <col min="2023" max="2026" width="0" style="120" hidden="1" customWidth="1"/>
    <col min="2027" max="2066" width="16" style="120" customWidth="1"/>
    <col min="2067" max="2273" width="9.140625" style="120"/>
    <col min="2274" max="2275" width="4.85546875" style="120" customWidth="1"/>
    <col min="2276" max="2276" width="7.5703125" style="120" customWidth="1"/>
    <col min="2277" max="2277" width="0" style="120" hidden="1" customWidth="1"/>
    <col min="2278" max="2278" width="63.7109375" style="120" customWidth="1"/>
    <col min="2279" max="2282" width="0" style="120" hidden="1" customWidth="1"/>
    <col min="2283" max="2322" width="16" style="120" customWidth="1"/>
    <col min="2323" max="2529" width="9.140625" style="120"/>
    <col min="2530" max="2531" width="4.85546875" style="120" customWidth="1"/>
    <col min="2532" max="2532" width="7.5703125" style="120" customWidth="1"/>
    <col min="2533" max="2533" width="0" style="120" hidden="1" customWidth="1"/>
    <col min="2534" max="2534" width="63.7109375" style="120" customWidth="1"/>
    <col min="2535" max="2538" width="0" style="120" hidden="1" customWidth="1"/>
    <col min="2539" max="2578" width="16" style="120" customWidth="1"/>
    <col min="2579" max="2785" width="9.140625" style="120"/>
    <col min="2786" max="2787" width="4.85546875" style="120" customWidth="1"/>
    <col min="2788" max="2788" width="7.5703125" style="120" customWidth="1"/>
    <col min="2789" max="2789" width="0" style="120" hidden="1" customWidth="1"/>
    <col min="2790" max="2790" width="63.7109375" style="120" customWidth="1"/>
    <col min="2791" max="2794" width="0" style="120" hidden="1" customWidth="1"/>
    <col min="2795" max="2834" width="16" style="120" customWidth="1"/>
    <col min="2835" max="3041" width="9.140625" style="120"/>
    <col min="3042" max="3043" width="4.85546875" style="120" customWidth="1"/>
    <col min="3044" max="3044" width="7.5703125" style="120" customWidth="1"/>
    <col min="3045" max="3045" width="0" style="120" hidden="1" customWidth="1"/>
    <col min="3046" max="3046" width="63.7109375" style="120" customWidth="1"/>
    <col min="3047" max="3050" width="0" style="120" hidden="1" customWidth="1"/>
    <col min="3051" max="3090" width="16" style="120" customWidth="1"/>
    <col min="3091" max="3297" width="9.140625" style="120"/>
    <col min="3298" max="3299" width="4.85546875" style="120" customWidth="1"/>
    <col min="3300" max="3300" width="7.5703125" style="120" customWidth="1"/>
    <col min="3301" max="3301" width="0" style="120" hidden="1" customWidth="1"/>
    <col min="3302" max="3302" width="63.7109375" style="120" customWidth="1"/>
    <col min="3303" max="3306" width="0" style="120" hidden="1" customWidth="1"/>
    <col min="3307" max="3346" width="16" style="120" customWidth="1"/>
    <col min="3347" max="3553" width="9.140625" style="120"/>
    <col min="3554" max="3555" width="4.85546875" style="120" customWidth="1"/>
    <col min="3556" max="3556" width="7.5703125" style="120" customWidth="1"/>
    <col min="3557" max="3557" width="0" style="120" hidden="1" customWidth="1"/>
    <col min="3558" max="3558" width="63.7109375" style="120" customWidth="1"/>
    <col min="3559" max="3562" width="0" style="120" hidden="1" customWidth="1"/>
    <col min="3563" max="3602" width="16" style="120" customWidth="1"/>
    <col min="3603" max="3809" width="9.140625" style="120"/>
    <col min="3810" max="3811" width="4.85546875" style="120" customWidth="1"/>
    <col min="3812" max="3812" width="7.5703125" style="120" customWidth="1"/>
    <col min="3813" max="3813" width="0" style="120" hidden="1" customWidth="1"/>
    <col min="3814" max="3814" width="63.7109375" style="120" customWidth="1"/>
    <col min="3815" max="3818" width="0" style="120" hidden="1" customWidth="1"/>
    <col min="3819" max="3858" width="16" style="120" customWidth="1"/>
    <col min="3859" max="4065" width="9.140625" style="120"/>
    <col min="4066" max="4067" width="4.85546875" style="120" customWidth="1"/>
    <col min="4068" max="4068" width="7.5703125" style="120" customWidth="1"/>
    <col min="4069" max="4069" width="0" style="120" hidden="1" customWidth="1"/>
    <col min="4070" max="4070" width="63.7109375" style="120" customWidth="1"/>
    <col min="4071" max="4074" width="0" style="120" hidden="1" customWidth="1"/>
    <col min="4075" max="4114" width="16" style="120" customWidth="1"/>
    <col min="4115" max="4321" width="9.140625" style="120"/>
    <col min="4322" max="4323" width="4.85546875" style="120" customWidth="1"/>
    <col min="4324" max="4324" width="7.5703125" style="120" customWidth="1"/>
    <col min="4325" max="4325" width="0" style="120" hidden="1" customWidth="1"/>
    <col min="4326" max="4326" width="63.7109375" style="120" customWidth="1"/>
    <col min="4327" max="4330" width="0" style="120" hidden="1" customWidth="1"/>
    <col min="4331" max="4370" width="16" style="120" customWidth="1"/>
    <col min="4371" max="4577" width="9.140625" style="120"/>
    <col min="4578" max="4579" width="4.85546875" style="120" customWidth="1"/>
    <col min="4580" max="4580" width="7.5703125" style="120" customWidth="1"/>
    <col min="4581" max="4581" width="0" style="120" hidden="1" customWidth="1"/>
    <col min="4582" max="4582" width="63.7109375" style="120" customWidth="1"/>
    <col min="4583" max="4586" width="0" style="120" hidden="1" customWidth="1"/>
    <col min="4587" max="4626" width="16" style="120" customWidth="1"/>
    <col min="4627" max="4833" width="9.140625" style="120"/>
    <col min="4834" max="4835" width="4.85546875" style="120" customWidth="1"/>
    <col min="4836" max="4836" width="7.5703125" style="120" customWidth="1"/>
    <col min="4837" max="4837" width="0" style="120" hidden="1" customWidth="1"/>
    <col min="4838" max="4838" width="63.7109375" style="120" customWidth="1"/>
    <col min="4839" max="4842" width="0" style="120" hidden="1" customWidth="1"/>
    <col min="4843" max="4882" width="16" style="120" customWidth="1"/>
    <col min="4883" max="5089" width="9.140625" style="120"/>
    <col min="5090" max="5091" width="4.85546875" style="120" customWidth="1"/>
    <col min="5092" max="5092" width="7.5703125" style="120" customWidth="1"/>
    <col min="5093" max="5093" width="0" style="120" hidden="1" customWidth="1"/>
    <col min="5094" max="5094" width="63.7109375" style="120" customWidth="1"/>
    <col min="5095" max="5098" width="0" style="120" hidden="1" customWidth="1"/>
    <col min="5099" max="5138" width="16" style="120" customWidth="1"/>
    <col min="5139" max="5345" width="9.140625" style="120"/>
    <col min="5346" max="5347" width="4.85546875" style="120" customWidth="1"/>
    <col min="5348" max="5348" width="7.5703125" style="120" customWidth="1"/>
    <col min="5349" max="5349" width="0" style="120" hidden="1" customWidth="1"/>
    <col min="5350" max="5350" width="63.7109375" style="120" customWidth="1"/>
    <col min="5351" max="5354" width="0" style="120" hidden="1" customWidth="1"/>
    <col min="5355" max="5394" width="16" style="120" customWidth="1"/>
    <col min="5395" max="5601" width="9.140625" style="120"/>
    <col min="5602" max="5603" width="4.85546875" style="120" customWidth="1"/>
    <col min="5604" max="5604" width="7.5703125" style="120" customWidth="1"/>
    <col min="5605" max="5605" width="0" style="120" hidden="1" customWidth="1"/>
    <col min="5606" max="5606" width="63.7109375" style="120" customWidth="1"/>
    <col min="5607" max="5610" width="0" style="120" hidden="1" customWidth="1"/>
    <col min="5611" max="5650" width="16" style="120" customWidth="1"/>
    <col min="5651" max="5857" width="9.140625" style="120"/>
    <col min="5858" max="5859" width="4.85546875" style="120" customWidth="1"/>
    <col min="5860" max="5860" width="7.5703125" style="120" customWidth="1"/>
    <col min="5861" max="5861" width="0" style="120" hidden="1" customWidth="1"/>
    <col min="5862" max="5862" width="63.7109375" style="120" customWidth="1"/>
    <col min="5863" max="5866" width="0" style="120" hidden="1" customWidth="1"/>
    <col min="5867" max="5906" width="16" style="120" customWidth="1"/>
    <col min="5907" max="6113" width="9.140625" style="120"/>
    <col min="6114" max="6115" width="4.85546875" style="120" customWidth="1"/>
    <col min="6116" max="6116" width="7.5703125" style="120" customWidth="1"/>
    <col min="6117" max="6117" width="0" style="120" hidden="1" customWidth="1"/>
    <col min="6118" max="6118" width="63.7109375" style="120" customWidth="1"/>
    <col min="6119" max="6122" width="0" style="120" hidden="1" customWidth="1"/>
    <col min="6123" max="6162" width="16" style="120" customWidth="1"/>
    <col min="6163" max="6369" width="9.140625" style="120"/>
    <col min="6370" max="6371" width="4.85546875" style="120" customWidth="1"/>
    <col min="6372" max="6372" width="7.5703125" style="120" customWidth="1"/>
    <col min="6373" max="6373" width="0" style="120" hidden="1" customWidth="1"/>
    <col min="6374" max="6374" width="63.7109375" style="120" customWidth="1"/>
    <col min="6375" max="6378" width="0" style="120" hidden="1" customWidth="1"/>
    <col min="6379" max="6418" width="16" style="120" customWidth="1"/>
    <col min="6419" max="6625" width="9.140625" style="120"/>
    <col min="6626" max="6627" width="4.85546875" style="120" customWidth="1"/>
    <col min="6628" max="6628" width="7.5703125" style="120" customWidth="1"/>
    <col min="6629" max="6629" width="0" style="120" hidden="1" customWidth="1"/>
    <col min="6630" max="6630" width="63.7109375" style="120" customWidth="1"/>
    <col min="6631" max="6634" width="0" style="120" hidden="1" customWidth="1"/>
    <col min="6635" max="6674" width="16" style="120" customWidth="1"/>
    <col min="6675" max="6881" width="9.140625" style="120"/>
    <col min="6882" max="6883" width="4.85546875" style="120" customWidth="1"/>
    <col min="6884" max="6884" width="7.5703125" style="120" customWidth="1"/>
    <col min="6885" max="6885" width="0" style="120" hidden="1" customWidth="1"/>
    <col min="6886" max="6886" width="63.7109375" style="120" customWidth="1"/>
    <col min="6887" max="6890" width="0" style="120" hidden="1" customWidth="1"/>
    <col min="6891" max="6930" width="16" style="120" customWidth="1"/>
    <col min="6931" max="7137" width="9.140625" style="120"/>
    <col min="7138" max="7139" width="4.85546875" style="120" customWidth="1"/>
    <col min="7140" max="7140" width="7.5703125" style="120" customWidth="1"/>
    <col min="7141" max="7141" width="0" style="120" hidden="1" customWidth="1"/>
    <col min="7142" max="7142" width="63.7109375" style="120" customWidth="1"/>
    <col min="7143" max="7146" width="0" style="120" hidden="1" customWidth="1"/>
    <col min="7147" max="7186" width="16" style="120" customWidth="1"/>
    <col min="7187" max="7393" width="9.140625" style="120"/>
    <col min="7394" max="7395" width="4.85546875" style="120" customWidth="1"/>
    <col min="7396" max="7396" width="7.5703125" style="120" customWidth="1"/>
    <col min="7397" max="7397" width="0" style="120" hidden="1" customWidth="1"/>
    <col min="7398" max="7398" width="63.7109375" style="120" customWidth="1"/>
    <col min="7399" max="7402" width="0" style="120" hidden="1" customWidth="1"/>
    <col min="7403" max="7442" width="16" style="120" customWidth="1"/>
    <col min="7443" max="7649" width="9.140625" style="120"/>
    <col min="7650" max="7651" width="4.85546875" style="120" customWidth="1"/>
    <col min="7652" max="7652" width="7.5703125" style="120" customWidth="1"/>
    <col min="7653" max="7653" width="0" style="120" hidden="1" customWidth="1"/>
    <col min="7654" max="7654" width="63.7109375" style="120" customWidth="1"/>
    <col min="7655" max="7658" width="0" style="120" hidden="1" customWidth="1"/>
    <col min="7659" max="7698" width="16" style="120" customWidth="1"/>
    <col min="7699" max="7905" width="9.140625" style="120"/>
    <col min="7906" max="7907" width="4.85546875" style="120" customWidth="1"/>
    <col min="7908" max="7908" width="7.5703125" style="120" customWidth="1"/>
    <col min="7909" max="7909" width="0" style="120" hidden="1" customWidth="1"/>
    <col min="7910" max="7910" width="63.7109375" style="120" customWidth="1"/>
    <col min="7911" max="7914" width="0" style="120" hidden="1" customWidth="1"/>
    <col min="7915" max="7954" width="16" style="120" customWidth="1"/>
    <col min="7955" max="8161" width="9.140625" style="120"/>
    <col min="8162" max="8163" width="4.85546875" style="120" customWidth="1"/>
    <col min="8164" max="8164" width="7.5703125" style="120" customWidth="1"/>
    <col min="8165" max="8165" width="0" style="120" hidden="1" customWidth="1"/>
    <col min="8166" max="8166" width="63.7109375" style="120" customWidth="1"/>
    <col min="8167" max="8170" width="0" style="120" hidden="1" customWidth="1"/>
    <col min="8171" max="8210" width="16" style="120" customWidth="1"/>
    <col min="8211" max="8417" width="9.140625" style="120"/>
    <col min="8418" max="8419" width="4.85546875" style="120" customWidth="1"/>
    <col min="8420" max="8420" width="7.5703125" style="120" customWidth="1"/>
    <col min="8421" max="8421" width="0" style="120" hidden="1" customWidth="1"/>
    <col min="8422" max="8422" width="63.7109375" style="120" customWidth="1"/>
    <col min="8423" max="8426" width="0" style="120" hidden="1" customWidth="1"/>
    <col min="8427" max="8466" width="16" style="120" customWidth="1"/>
    <col min="8467" max="8673" width="9.140625" style="120"/>
    <col min="8674" max="8675" width="4.85546875" style="120" customWidth="1"/>
    <col min="8676" max="8676" width="7.5703125" style="120" customWidth="1"/>
    <col min="8677" max="8677" width="0" style="120" hidden="1" customWidth="1"/>
    <col min="8678" max="8678" width="63.7109375" style="120" customWidth="1"/>
    <col min="8679" max="8682" width="0" style="120" hidden="1" customWidth="1"/>
    <col min="8683" max="8722" width="16" style="120" customWidth="1"/>
    <col min="8723" max="8929" width="9.140625" style="120"/>
    <col min="8930" max="8931" width="4.85546875" style="120" customWidth="1"/>
    <col min="8932" max="8932" width="7.5703125" style="120" customWidth="1"/>
    <col min="8933" max="8933" width="0" style="120" hidden="1" customWidth="1"/>
    <col min="8934" max="8934" width="63.7109375" style="120" customWidth="1"/>
    <col min="8935" max="8938" width="0" style="120" hidden="1" customWidth="1"/>
    <col min="8939" max="8978" width="16" style="120" customWidth="1"/>
    <col min="8979" max="9185" width="9.140625" style="120"/>
    <col min="9186" max="9187" width="4.85546875" style="120" customWidth="1"/>
    <col min="9188" max="9188" width="7.5703125" style="120" customWidth="1"/>
    <col min="9189" max="9189" width="0" style="120" hidden="1" customWidth="1"/>
    <col min="9190" max="9190" width="63.7109375" style="120" customWidth="1"/>
    <col min="9191" max="9194" width="0" style="120" hidden="1" customWidth="1"/>
    <col min="9195" max="9234" width="16" style="120" customWidth="1"/>
    <col min="9235" max="9441" width="9.140625" style="120"/>
    <col min="9442" max="9443" width="4.85546875" style="120" customWidth="1"/>
    <col min="9444" max="9444" width="7.5703125" style="120" customWidth="1"/>
    <col min="9445" max="9445" width="0" style="120" hidden="1" customWidth="1"/>
    <col min="9446" max="9446" width="63.7109375" style="120" customWidth="1"/>
    <col min="9447" max="9450" width="0" style="120" hidden="1" customWidth="1"/>
    <col min="9451" max="9490" width="16" style="120" customWidth="1"/>
    <col min="9491" max="9697" width="9.140625" style="120"/>
    <col min="9698" max="9699" width="4.85546875" style="120" customWidth="1"/>
    <col min="9700" max="9700" width="7.5703125" style="120" customWidth="1"/>
    <col min="9701" max="9701" width="0" style="120" hidden="1" customWidth="1"/>
    <col min="9702" max="9702" width="63.7109375" style="120" customWidth="1"/>
    <col min="9703" max="9706" width="0" style="120" hidden="1" customWidth="1"/>
    <col min="9707" max="9746" width="16" style="120" customWidth="1"/>
    <col min="9747" max="9953" width="9.140625" style="120"/>
    <col min="9954" max="9955" width="4.85546875" style="120" customWidth="1"/>
    <col min="9956" max="9956" width="7.5703125" style="120" customWidth="1"/>
    <col min="9957" max="9957" width="0" style="120" hidden="1" customWidth="1"/>
    <col min="9958" max="9958" width="63.7109375" style="120" customWidth="1"/>
    <col min="9959" max="9962" width="0" style="120" hidden="1" customWidth="1"/>
    <col min="9963" max="10002" width="16" style="120" customWidth="1"/>
    <col min="10003" max="10209" width="9.140625" style="120"/>
    <col min="10210" max="10211" width="4.85546875" style="120" customWidth="1"/>
    <col min="10212" max="10212" width="7.5703125" style="120" customWidth="1"/>
    <col min="10213" max="10213" width="0" style="120" hidden="1" customWidth="1"/>
    <col min="10214" max="10214" width="63.7109375" style="120" customWidth="1"/>
    <col min="10215" max="10218" width="0" style="120" hidden="1" customWidth="1"/>
    <col min="10219" max="10258" width="16" style="120" customWidth="1"/>
    <col min="10259" max="10465" width="9.140625" style="120"/>
    <col min="10466" max="10467" width="4.85546875" style="120" customWidth="1"/>
    <col min="10468" max="10468" width="7.5703125" style="120" customWidth="1"/>
    <col min="10469" max="10469" width="0" style="120" hidden="1" customWidth="1"/>
    <col min="10470" max="10470" width="63.7109375" style="120" customWidth="1"/>
    <col min="10471" max="10474" width="0" style="120" hidden="1" customWidth="1"/>
    <col min="10475" max="10514" width="16" style="120" customWidth="1"/>
    <col min="10515" max="10721" width="9.140625" style="120"/>
    <col min="10722" max="10723" width="4.85546875" style="120" customWidth="1"/>
    <col min="10724" max="10724" width="7.5703125" style="120" customWidth="1"/>
    <col min="10725" max="10725" width="0" style="120" hidden="1" customWidth="1"/>
    <col min="10726" max="10726" width="63.7109375" style="120" customWidth="1"/>
    <col min="10727" max="10730" width="0" style="120" hidden="1" customWidth="1"/>
    <col min="10731" max="10770" width="16" style="120" customWidth="1"/>
    <col min="10771" max="10977" width="9.140625" style="120"/>
    <col min="10978" max="10979" width="4.85546875" style="120" customWidth="1"/>
    <col min="10980" max="10980" width="7.5703125" style="120" customWidth="1"/>
    <col min="10981" max="10981" width="0" style="120" hidden="1" customWidth="1"/>
    <col min="10982" max="10982" width="63.7109375" style="120" customWidth="1"/>
    <col min="10983" max="10986" width="0" style="120" hidden="1" customWidth="1"/>
    <col min="10987" max="11026" width="16" style="120" customWidth="1"/>
    <col min="11027" max="11233" width="9.140625" style="120"/>
    <col min="11234" max="11235" width="4.85546875" style="120" customWidth="1"/>
    <col min="11236" max="11236" width="7.5703125" style="120" customWidth="1"/>
    <col min="11237" max="11237" width="0" style="120" hidden="1" customWidth="1"/>
    <col min="11238" max="11238" width="63.7109375" style="120" customWidth="1"/>
    <col min="11239" max="11242" width="0" style="120" hidden="1" customWidth="1"/>
    <col min="11243" max="11282" width="16" style="120" customWidth="1"/>
    <col min="11283" max="11489" width="9.140625" style="120"/>
    <col min="11490" max="11491" width="4.85546875" style="120" customWidth="1"/>
    <col min="11492" max="11492" width="7.5703125" style="120" customWidth="1"/>
    <col min="11493" max="11493" width="0" style="120" hidden="1" customWidth="1"/>
    <col min="11494" max="11494" width="63.7109375" style="120" customWidth="1"/>
    <col min="11495" max="11498" width="0" style="120" hidden="1" customWidth="1"/>
    <col min="11499" max="11538" width="16" style="120" customWidth="1"/>
    <col min="11539" max="11745" width="9.140625" style="120"/>
    <col min="11746" max="11747" width="4.85546875" style="120" customWidth="1"/>
    <col min="11748" max="11748" width="7.5703125" style="120" customWidth="1"/>
    <col min="11749" max="11749" width="0" style="120" hidden="1" customWidth="1"/>
    <col min="11750" max="11750" width="63.7109375" style="120" customWidth="1"/>
    <col min="11751" max="11754" width="0" style="120" hidden="1" customWidth="1"/>
    <col min="11755" max="11794" width="16" style="120" customWidth="1"/>
    <col min="11795" max="12001" width="9.140625" style="120"/>
    <col min="12002" max="12003" width="4.85546875" style="120" customWidth="1"/>
    <col min="12004" max="12004" width="7.5703125" style="120" customWidth="1"/>
    <col min="12005" max="12005" width="0" style="120" hidden="1" customWidth="1"/>
    <col min="12006" max="12006" width="63.7109375" style="120" customWidth="1"/>
    <col min="12007" max="12010" width="0" style="120" hidden="1" customWidth="1"/>
    <col min="12011" max="12050" width="16" style="120" customWidth="1"/>
    <col min="12051" max="12257" width="9.140625" style="120"/>
    <col min="12258" max="12259" width="4.85546875" style="120" customWidth="1"/>
    <col min="12260" max="12260" width="7.5703125" style="120" customWidth="1"/>
    <col min="12261" max="12261" width="0" style="120" hidden="1" customWidth="1"/>
    <col min="12262" max="12262" width="63.7109375" style="120" customWidth="1"/>
    <col min="12263" max="12266" width="0" style="120" hidden="1" customWidth="1"/>
    <col min="12267" max="12306" width="16" style="120" customWidth="1"/>
    <col min="12307" max="12513" width="9.140625" style="120"/>
    <col min="12514" max="12515" width="4.85546875" style="120" customWidth="1"/>
    <col min="12516" max="12516" width="7.5703125" style="120" customWidth="1"/>
    <col min="12517" max="12517" width="0" style="120" hidden="1" customWidth="1"/>
    <col min="12518" max="12518" width="63.7109375" style="120" customWidth="1"/>
    <col min="12519" max="12522" width="0" style="120" hidden="1" customWidth="1"/>
    <col min="12523" max="12562" width="16" style="120" customWidth="1"/>
    <col min="12563" max="12769" width="9.140625" style="120"/>
    <col min="12770" max="12771" width="4.85546875" style="120" customWidth="1"/>
    <col min="12772" max="12772" width="7.5703125" style="120" customWidth="1"/>
    <col min="12773" max="12773" width="0" style="120" hidden="1" customWidth="1"/>
    <col min="12774" max="12774" width="63.7109375" style="120" customWidth="1"/>
    <col min="12775" max="12778" width="0" style="120" hidden="1" customWidth="1"/>
    <col min="12779" max="12818" width="16" style="120" customWidth="1"/>
    <col min="12819" max="13025" width="9.140625" style="120"/>
    <col min="13026" max="13027" width="4.85546875" style="120" customWidth="1"/>
    <col min="13028" max="13028" width="7.5703125" style="120" customWidth="1"/>
    <col min="13029" max="13029" width="0" style="120" hidden="1" customWidth="1"/>
    <col min="13030" max="13030" width="63.7109375" style="120" customWidth="1"/>
    <col min="13031" max="13034" width="0" style="120" hidden="1" customWidth="1"/>
    <col min="13035" max="13074" width="16" style="120" customWidth="1"/>
    <col min="13075" max="13281" width="9.140625" style="120"/>
    <col min="13282" max="13283" width="4.85546875" style="120" customWidth="1"/>
    <col min="13284" max="13284" width="7.5703125" style="120" customWidth="1"/>
    <col min="13285" max="13285" width="0" style="120" hidden="1" customWidth="1"/>
    <col min="13286" max="13286" width="63.7109375" style="120" customWidth="1"/>
    <col min="13287" max="13290" width="0" style="120" hidden="1" customWidth="1"/>
    <col min="13291" max="13330" width="16" style="120" customWidth="1"/>
    <col min="13331" max="13537" width="9.140625" style="120"/>
    <col min="13538" max="13539" width="4.85546875" style="120" customWidth="1"/>
    <col min="13540" max="13540" width="7.5703125" style="120" customWidth="1"/>
    <col min="13541" max="13541" width="0" style="120" hidden="1" customWidth="1"/>
    <col min="13542" max="13542" width="63.7109375" style="120" customWidth="1"/>
    <col min="13543" max="13546" width="0" style="120" hidden="1" customWidth="1"/>
    <col min="13547" max="13586" width="16" style="120" customWidth="1"/>
    <col min="13587" max="13793" width="9.140625" style="120"/>
    <col min="13794" max="13795" width="4.85546875" style="120" customWidth="1"/>
    <col min="13796" max="13796" width="7.5703125" style="120" customWidth="1"/>
    <col min="13797" max="13797" width="0" style="120" hidden="1" customWidth="1"/>
    <col min="13798" max="13798" width="63.7109375" style="120" customWidth="1"/>
    <col min="13799" max="13802" width="0" style="120" hidden="1" customWidth="1"/>
    <col min="13803" max="13842" width="16" style="120" customWidth="1"/>
    <col min="13843" max="14049" width="9.140625" style="120"/>
    <col min="14050" max="14051" width="4.85546875" style="120" customWidth="1"/>
    <col min="14052" max="14052" width="7.5703125" style="120" customWidth="1"/>
    <col min="14053" max="14053" width="0" style="120" hidden="1" customWidth="1"/>
    <col min="14054" max="14054" width="63.7109375" style="120" customWidth="1"/>
    <col min="14055" max="14058" width="0" style="120" hidden="1" customWidth="1"/>
    <col min="14059" max="14098" width="16" style="120" customWidth="1"/>
    <col min="14099" max="14305" width="9.140625" style="120"/>
    <col min="14306" max="14307" width="4.85546875" style="120" customWidth="1"/>
    <col min="14308" max="14308" width="7.5703125" style="120" customWidth="1"/>
    <col min="14309" max="14309" width="0" style="120" hidden="1" customWidth="1"/>
    <col min="14310" max="14310" width="63.7109375" style="120" customWidth="1"/>
    <col min="14311" max="14314" width="0" style="120" hidden="1" customWidth="1"/>
    <col min="14315" max="14354" width="16" style="120" customWidth="1"/>
    <col min="14355" max="14561" width="9.140625" style="120"/>
    <col min="14562" max="14563" width="4.85546875" style="120" customWidth="1"/>
    <col min="14564" max="14564" width="7.5703125" style="120" customWidth="1"/>
    <col min="14565" max="14565" width="0" style="120" hidden="1" customWidth="1"/>
    <col min="14566" max="14566" width="63.7109375" style="120" customWidth="1"/>
    <col min="14567" max="14570" width="0" style="120" hidden="1" customWidth="1"/>
    <col min="14571" max="14610" width="16" style="120" customWidth="1"/>
    <col min="14611" max="14817" width="9.140625" style="120"/>
    <col min="14818" max="14819" width="4.85546875" style="120" customWidth="1"/>
    <col min="14820" max="14820" width="7.5703125" style="120" customWidth="1"/>
    <col min="14821" max="14821" width="0" style="120" hidden="1" customWidth="1"/>
    <col min="14822" max="14822" width="63.7109375" style="120" customWidth="1"/>
    <col min="14823" max="14826" width="0" style="120" hidden="1" customWidth="1"/>
    <col min="14827" max="14866" width="16" style="120" customWidth="1"/>
    <col min="14867" max="15073" width="9.140625" style="120"/>
    <col min="15074" max="15075" width="4.85546875" style="120" customWidth="1"/>
    <col min="15076" max="15076" width="7.5703125" style="120" customWidth="1"/>
    <col min="15077" max="15077" width="0" style="120" hidden="1" customWidth="1"/>
    <col min="15078" max="15078" width="63.7109375" style="120" customWidth="1"/>
    <col min="15079" max="15082" width="0" style="120" hidden="1" customWidth="1"/>
    <col min="15083" max="15122" width="16" style="120" customWidth="1"/>
    <col min="15123" max="15329" width="9.140625" style="120"/>
    <col min="15330" max="15331" width="4.85546875" style="120" customWidth="1"/>
    <col min="15332" max="15332" width="7.5703125" style="120" customWidth="1"/>
    <col min="15333" max="15333" width="0" style="120" hidden="1" customWidth="1"/>
    <col min="15334" max="15334" width="63.7109375" style="120" customWidth="1"/>
    <col min="15335" max="15338" width="0" style="120" hidden="1" customWidth="1"/>
    <col min="15339" max="15378" width="16" style="120" customWidth="1"/>
    <col min="15379" max="15585" width="9.140625" style="120"/>
    <col min="15586" max="15587" width="4.85546875" style="120" customWidth="1"/>
    <col min="15588" max="15588" width="7.5703125" style="120" customWidth="1"/>
    <col min="15589" max="15589" width="0" style="120" hidden="1" customWidth="1"/>
    <col min="15590" max="15590" width="63.7109375" style="120" customWidth="1"/>
    <col min="15591" max="15594" width="0" style="120" hidden="1" customWidth="1"/>
    <col min="15595" max="15634" width="16" style="120" customWidth="1"/>
    <col min="15635" max="15841" width="9.140625" style="120"/>
    <col min="15842" max="15843" width="4.85546875" style="120" customWidth="1"/>
    <col min="15844" max="15844" width="7.5703125" style="120" customWidth="1"/>
    <col min="15845" max="15845" width="0" style="120" hidden="1" customWidth="1"/>
    <col min="15846" max="15846" width="63.7109375" style="120" customWidth="1"/>
    <col min="15847" max="15850" width="0" style="120" hidden="1" customWidth="1"/>
    <col min="15851" max="15890" width="16" style="120" customWidth="1"/>
    <col min="15891" max="16097" width="9.140625" style="120"/>
    <col min="16098" max="16099" width="4.85546875" style="120" customWidth="1"/>
    <col min="16100" max="16100" width="7.5703125" style="120" customWidth="1"/>
    <col min="16101" max="16101" width="0" style="120" hidden="1" customWidth="1"/>
    <col min="16102" max="16102" width="63.7109375" style="120" customWidth="1"/>
    <col min="16103" max="16106" width="0" style="120" hidden="1" customWidth="1"/>
    <col min="16107" max="16146" width="16" style="120" customWidth="1"/>
    <col min="16147" max="16384" width="9.140625" style="120"/>
  </cols>
  <sheetData>
    <row r="1" spans="1:20" ht="20.25">
      <c r="A1" s="194" t="s">
        <v>125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15.75">
      <c r="A2" s="118"/>
      <c r="B2" s="179"/>
      <c r="C2" s="193" t="s">
        <v>126</v>
      </c>
      <c r="D2" s="193"/>
      <c r="E2" s="185" t="s">
        <v>127</v>
      </c>
      <c r="F2" s="185" t="s">
        <v>126</v>
      </c>
      <c r="G2" s="146" t="str">
        <f>""</f>
        <v/>
      </c>
      <c r="H2" s="122"/>
      <c r="I2" s="122"/>
      <c r="J2" s="122"/>
      <c r="K2" s="122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9.5" customHeight="1">
      <c r="A3" s="69" t="s">
        <v>1</v>
      </c>
      <c r="B3" s="70" t="s">
        <v>128</v>
      </c>
      <c r="C3" s="71">
        <f>+D3-1</f>
        <v>2017</v>
      </c>
      <c r="D3" s="72">
        <f>+E3-1</f>
        <v>2018</v>
      </c>
      <c r="E3" s="72">
        <f>+F3</f>
        <v>2019</v>
      </c>
      <c r="F3" s="73">
        <f>+G3-1</f>
        <v>2019</v>
      </c>
      <c r="G3" s="145">
        <f>+[1]DaneZrodlowe!$N$1</f>
        <v>2020</v>
      </c>
      <c r="H3" s="74">
        <f t="shared" ref="H3:T3" si="0">+G3+1</f>
        <v>2021</v>
      </c>
      <c r="I3" s="74">
        <f t="shared" si="0"/>
        <v>2022</v>
      </c>
      <c r="J3" s="74">
        <f t="shared" si="0"/>
        <v>2023</v>
      </c>
      <c r="K3" s="74">
        <f t="shared" si="0"/>
        <v>2024</v>
      </c>
      <c r="L3" s="74">
        <f t="shared" si="0"/>
        <v>2025</v>
      </c>
      <c r="M3" s="74">
        <f t="shared" si="0"/>
        <v>2026</v>
      </c>
      <c r="N3" s="74">
        <f t="shared" si="0"/>
        <v>2027</v>
      </c>
      <c r="O3" s="74">
        <f t="shared" si="0"/>
        <v>2028</v>
      </c>
      <c r="P3" s="74">
        <f t="shared" si="0"/>
        <v>2029</v>
      </c>
      <c r="Q3" s="74">
        <f t="shared" si="0"/>
        <v>2030</v>
      </c>
      <c r="R3" s="74">
        <f t="shared" si="0"/>
        <v>2031</v>
      </c>
      <c r="S3" s="74">
        <f t="shared" si="0"/>
        <v>2032</v>
      </c>
      <c r="T3" s="74">
        <f t="shared" si="0"/>
        <v>2033</v>
      </c>
    </row>
    <row r="4" spans="1:20" ht="18" customHeight="1">
      <c r="A4" s="147">
        <v>1</v>
      </c>
      <c r="B4" s="148" t="s">
        <v>129</v>
      </c>
      <c r="C4" s="149">
        <f>135769078.54</f>
        <v>135769078.53999999</v>
      </c>
      <c r="D4" s="150">
        <f>145269730.18</f>
        <v>145269730.18000001</v>
      </c>
      <c r="E4" s="150">
        <f>151645715.55</f>
        <v>151645715.55000001</v>
      </c>
      <c r="F4" s="151">
        <f>153315639.25</f>
        <v>153315639.25</v>
      </c>
      <c r="G4" s="152">
        <f>159351400.5</f>
        <v>159351400.5</v>
      </c>
      <c r="H4" s="153">
        <f>161512406</f>
        <v>161512406</v>
      </c>
      <c r="I4" s="153">
        <f>165712684</f>
        <v>165712684</v>
      </c>
      <c r="J4" s="153">
        <f>168886876</f>
        <v>168886876</v>
      </c>
      <c r="K4" s="153">
        <f>171899883</f>
        <v>171899883</v>
      </c>
      <c r="L4" s="153">
        <f>175351179</f>
        <v>175351179</v>
      </c>
      <c r="M4" s="153">
        <f>180795214</f>
        <v>180795214</v>
      </c>
      <c r="N4" s="153">
        <f>185766526</f>
        <v>185766526</v>
      </c>
      <c r="O4" s="153">
        <f>190953990</f>
        <v>190953990</v>
      </c>
      <c r="P4" s="153">
        <f>196096247</f>
        <v>196096247</v>
      </c>
      <c r="Q4" s="153">
        <f>201377345</f>
        <v>201377345</v>
      </c>
      <c r="R4" s="153">
        <f>206600157</f>
        <v>206600157</v>
      </c>
      <c r="S4" s="153">
        <f>211752660</f>
        <v>211752660</v>
      </c>
      <c r="T4" s="153">
        <f>216822724</f>
        <v>216822724</v>
      </c>
    </row>
    <row r="5" spans="1:20" ht="18" customHeight="1">
      <c r="A5" s="123" t="s">
        <v>130</v>
      </c>
      <c r="B5" s="180" t="s">
        <v>232</v>
      </c>
      <c r="C5" s="75">
        <f>116715488.34</f>
        <v>116715488.34</v>
      </c>
      <c r="D5" s="4">
        <f>126568566.74</f>
        <v>126568566.73999999</v>
      </c>
      <c r="E5" s="4">
        <f>138448744.55</f>
        <v>138448744.55000001</v>
      </c>
      <c r="F5" s="5">
        <f>141340639.13</f>
        <v>141340639.13</v>
      </c>
      <c r="G5" s="6">
        <f>146688368.5</f>
        <v>146688368.5</v>
      </c>
      <c r="H5" s="7">
        <f>154735206</f>
        <v>154735206</v>
      </c>
      <c r="I5" s="7">
        <f>159812684</f>
        <v>159812684</v>
      </c>
      <c r="J5" s="7">
        <f>164766876</f>
        <v>164766876</v>
      </c>
      <c r="K5" s="7">
        <f>169709883</f>
        <v>169709883</v>
      </c>
      <c r="L5" s="7">
        <f>174801179</f>
        <v>174801179</v>
      </c>
      <c r="M5" s="7">
        <f>180045214</f>
        <v>180045214</v>
      </c>
      <c r="N5" s="7">
        <f>185266526</f>
        <v>185266526</v>
      </c>
      <c r="O5" s="7">
        <f>190453990</f>
        <v>190453990</v>
      </c>
      <c r="P5" s="7">
        <f>195596247</f>
        <v>195596247</v>
      </c>
      <c r="Q5" s="7">
        <f>200877345</f>
        <v>200877345</v>
      </c>
      <c r="R5" s="7">
        <f>206100157</f>
        <v>206100157</v>
      </c>
      <c r="S5" s="7">
        <f>211252660</f>
        <v>211252660</v>
      </c>
      <c r="T5" s="7">
        <f>216322724</f>
        <v>216322724</v>
      </c>
    </row>
    <row r="6" spans="1:20" ht="33" customHeight="1">
      <c r="A6" s="123" t="s">
        <v>131</v>
      </c>
      <c r="B6" s="124" t="s">
        <v>132</v>
      </c>
      <c r="C6" s="75">
        <f>44035115</f>
        <v>44035115</v>
      </c>
      <c r="D6" s="4">
        <f>50171188</f>
        <v>50171188</v>
      </c>
      <c r="E6" s="4">
        <f>53890702</f>
        <v>53890702</v>
      </c>
      <c r="F6" s="5">
        <f>54400021</f>
        <v>54400021</v>
      </c>
      <c r="G6" s="6">
        <f>52992669</f>
        <v>52992669</v>
      </c>
      <c r="H6" s="7">
        <f>58512200</f>
        <v>58512200</v>
      </c>
      <c r="I6" s="7">
        <f>60443103</f>
        <v>60443103</v>
      </c>
      <c r="J6" s="7">
        <f>62316839</f>
        <v>62316839</v>
      </c>
      <c r="K6" s="7">
        <f>64186344</f>
        <v>64186344</v>
      </c>
      <c r="L6" s="7">
        <f>66111934</f>
        <v>66111934</v>
      </c>
      <c r="M6" s="7">
        <f>68095292</f>
        <v>68095292</v>
      </c>
      <c r="N6" s="7">
        <f>70070055</f>
        <v>70070055</v>
      </c>
      <c r="O6" s="7">
        <f>72032017</f>
        <v>72032017</v>
      </c>
      <c r="P6" s="7">
        <f>73976881</f>
        <v>73976881</v>
      </c>
      <c r="Q6" s="7">
        <f>75974257</f>
        <v>75974257</v>
      </c>
      <c r="R6" s="7">
        <f>77949588</f>
        <v>77949588</v>
      </c>
      <c r="S6" s="7">
        <f>79898328</f>
        <v>79898328</v>
      </c>
      <c r="T6" s="7">
        <f>81815888</f>
        <v>81815888</v>
      </c>
    </row>
    <row r="7" spans="1:20" ht="30" customHeight="1">
      <c r="A7" s="123" t="s">
        <v>133</v>
      </c>
      <c r="B7" s="124" t="s">
        <v>134</v>
      </c>
      <c r="C7" s="75">
        <f>987572.58</f>
        <v>987572.58</v>
      </c>
      <c r="D7" s="4">
        <f>888145.77</f>
        <v>888145.77</v>
      </c>
      <c r="E7" s="4">
        <f>1000000</f>
        <v>1000000</v>
      </c>
      <c r="F7" s="5">
        <f>883588.42</f>
        <v>883588.42</v>
      </c>
      <c r="G7" s="6">
        <f>1000000</f>
        <v>1000000</v>
      </c>
      <c r="H7" s="7">
        <f>1064000</f>
        <v>1064000</v>
      </c>
      <c r="I7" s="7">
        <f>1099112</f>
        <v>1099112</v>
      </c>
      <c r="J7" s="7">
        <f>1133184</f>
        <v>1133184</v>
      </c>
      <c r="K7" s="7">
        <f>1167180</f>
        <v>1167180</v>
      </c>
      <c r="L7" s="7">
        <f>1202195</f>
        <v>1202195</v>
      </c>
      <c r="M7" s="7">
        <f>1238261</f>
        <v>1238261</v>
      </c>
      <c r="N7" s="7">
        <f>1274171</f>
        <v>1274171</v>
      </c>
      <c r="O7" s="7">
        <f>1309848</f>
        <v>1309848</v>
      </c>
      <c r="P7" s="7">
        <f>1345214</f>
        <v>1345214</v>
      </c>
      <c r="Q7" s="7">
        <f>1381535</f>
        <v>1381535</v>
      </c>
      <c r="R7" s="7">
        <f>1417455</f>
        <v>1417455</v>
      </c>
      <c r="S7" s="7">
        <f>1452891</f>
        <v>1452891</v>
      </c>
      <c r="T7" s="7">
        <f>1487760</f>
        <v>1487760</v>
      </c>
    </row>
    <row r="8" spans="1:20" ht="18" customHeight="1">
      <c r="A8" s="123" t="s">
        <v>135</v>
      </c>
      <c r="B8" s="124" t="s">
        <v>138</v>
      </c>
      <c r="C8" s="75">
        <f>43955181</f>
        <v>43955181</v>
      </c>
      <c r="D8" s="4">
        <f>46201081</f>
        <v>46201081</v>
      </c>
      <c r="E8" s="4">
        <f>52247818</f>
        <v>52247818</v>
      </c>
      <c r="F8" s="5">
        <f>53406551</f>
        <v>53406551</v>
      </c>
      <c r="G8" s="6">
        <f>60362862</f>
        <v>60362862</v>
      </c>
      <c r="H8" s="7">
        <f>63550908</f>
        <v>63550908</v>
      </c>
      <c r="I8" s="7">
        <f>65648088</f>
        <v>65648088</v>
      </c>
      <c r="J8" s="7">
        <f>67683179</f>
        <v>67683179</v>
      </c>
      <c r="K8" s="7">
        <f>69713674</f>
        <v>69713674</v>
      </c>
      <c r="L8" s="7">
        <f>71805084</f>
        <v>71805084</v>
      </c>
      <c r="M8" s="7">
        <f>73959237</f>
        <v>73959237</v>
      </c>
      <c r="N8" s="7">
        <f>76104055</f>
        <v>76104055</v>
      </c>
      <c r="O8" s="7">
        <f>78234969</f>
        <v>78234969</v>
      </c>
      <c r="P8" s="7">
        <f>80347313</f>
        <v>80347313</v>
      </c>
      <c r="Q8" s="7">
        <f>82516690</f>
        <v>82516690</v>
      </c>
      <c r="R8" s="7">
        <f>84662124</f>
        <v>84662124</v>
      </c>
      <c r="S8" s="7">
        <f>86778677</f>
        <v>86778677</v>
      </c>
      <c r="T8" s="7">
        <f>88861365</f>
        <v>88861365</v>
      </c>
    </row>
    <row r="9" spans="1:20" ht="27.75" customHeight="1">
      <c r="A9" s="123" t="s">
        <v>137</v>
      </c>
      <c r="B9" s="124" t="s">
        <v>140</v>
      </c>
      <c r="C9" s="75">
        <f>16878810.53</f>
        <v>16878810.530000001</v>
      </c>
      <c r="D9" s="4">
        <f>17583692.65</f>
        <v>17583692.649999999</v>
      </c>
      <c r="E9" s="4">
        <f>19736951.55</f>
        <v>19736951.550000001</v>
      </c>
      <c r="F9" s="5">
        <f>20211589.81</f>
        <v>20211589.809999999</v>
      </c>
      <c r="G9" s="6">
        <f>19955399.5</f>
        <v>19955399.5</v>
      </c>
      <c r="H9" s="7">
        <f>18627477</f>
        <v>18627477</v>
      </c>
      <c r="I9" s="7">
        <f>19213400</f>
        <v>19213400</v>
      </c>
      <c r="J9" s="7">
        <f>19809015</f>
        <v>19809015</v>
      </c>
      <c r="K9" s="7">
        <f>20403285</f>
        <v>20403285</v>
      </c>
      <c r="L9" s="7">
        <f>21015384</f>
        <v>21015384</v>
      </c>
      <c r="M9" s="7">
        <f>21645846</f>
        <v>21645846</v>
      </c>
      <c r="N9" s="7">
        <f>22273576</f>
        <v>22273576</v>
      </c>
      <c r="O9" s="7">
        <f>22897236</f>
        <v>22897236</v>
      </c>
      <c r="P9" s="7">
        <f>23515461</f>
        <v>23515461</v>
      </c>
      <c r="Q9" s="7">
        <f>24150378</f>
        <v>24150378</v>
      </c>
      <c r="R9" s="7">
        <f>24778288</f>
        <v>24778288</v>
      </c>
      <c r="S9" s="7">
        <f>25397744</f>
        <v>25397744</v>
      </c>
      <c r="T9" s="7">
        <f>26007291</f>
        <v>26007291</v>
      </c>
    </row>
    <row r="10" spans="1:20" ht="18" customHeight="1">
      <c r="A10" s="123" t="s">
        <v>139</v>
      </c>
      <c r="B10" s="124" t="s">
        <v>233</v>
      </c>
      <c r="C10" s="75">
        <f>10858809.23</f>
        <v>10858809.23</v>
      </c>
      <c r="D10" s="4">
        <f>11724459.32</f>
        <v>11724459.32</v>
      </c>
      <c r="E10" s="4">
        <f>11573273</f>
        <v>11573273</v>
      </c>
      <c r="F10" s="5">
        <f>12438888.9</f>
        <v>12438888.9</v>
      </c>
      <c r="G10" s="6">
        <f>12377438</f>
        <v>12377438</v>
      </c>
      <c r="H10" s="7">
        <f>12980621</f>
        <v>12980621</v>
      </c>
      <c r="I10" s="7">
        <f>13408981</f>
        <v>13408981</v>
      </c>
      <c r="J10" s="7">
        <f>13824659</f>
        <v>13824659</v>
      </c>
      <c r="K10" s="7">
        <f>14239399</f>
        <v>14239399</v>
      </c>
      <c r="L10" s="7">
        <f>14666581</f>
        <v>14666581</v>
      </c>
      <c r="M10" s="7">
        <f>15106578</f>
        <v>15106578</v>
      </c>
      <c r="N10" s="7">
        <f>15544669</f>
        <v>15544669</v>
      </c>
      <c r="O10" s="7">
        <f>15979920</f>
        <v>15979920</v>
      </c>
      <c r="P10" s="7">
        <f>16411378</f>
        <v>16411378</v>
      </c>
      <c r="Q10" s="7">
        <f>16854485</f>
        <v>16854485</v>
      </c>
      <c r="R10" s="7">
        <f>17292702</f>
        <v>17292702</v>
      </c>
      <c r="S10" s="7">
        <f>17725020</f>
        <v>17725020</v>
      </c>
      <c r="T10" s="7">
        <f>18150420</f>
        <v>18150420</v>
      </c>
    </row>
    <row r="11" spans="1:20" ht="18" customHeight="1">
      <c r="A11" s="123" t="s">
        <v>234</v>
      </c>
      <c r="B11" s="181" t="s">
        <v>136</v>
      </c>
      <c r="C11" s="75">
        <f>0</f>
        <v>0</v>
      </c>
      <c r="D11" s="4">
        <f>0</f>
        <v>0</v>
      </c>
      <c r="E11" s="4">
        <f>0</f>
        <v>0</v>
      </c>
      <c r="F11" s="5">
        <f>0</f>
        <v>0</v>
      </c>
      <c r="G11" s="6">
        <f>0</f>
        <v>0</v>
      </c>
      <c r="H11" s="7">
        <f>0</f>
        <v>0</v>
      </c>
      <c r="I11" s="7">
        <f>0</f>
        <v>0</v>
      </c>
      <c r="J11" s="7">
        <f>0</f>
        <v>0</v>
      </c>
      <c r="K11" s="7">
        <f>0</f>
        <v>0</v>
      </c>
      <c r="L11" s="7">
        <f>0</f>
        <v>0</v>
      </c>
      <c r="M11" s="7">
        <f>0</f>
        <v>0</v>
      </c>
      <c r="N11" s="7">
        <f>0</f>
        <v>0</v>
      </c>
      <c r="O11" s="7">
        <f>0</f>
        <v>0</v>
      </c>
      <c r="P11" s="7">
        <f>0</f>
        <v>0</v>
      </c>
      <c r="Q11" s="7">
        <f>0</f>
        <v>0</v>
      </c>
      <c r="R11" s="7">
        <f>0</f>
        <v>0</v>
      </c>
      <c r="S11" s="7">
        <f>0</f>
        <v>0</v>
      </c>
      <c r="T11" s="7">
        <f>0</f>
        <v>0</v>
      </c>
    </row>
    <row r="12" spans="1:20" ht="18" customHeight="1">
      <c r="A12" s="123" t="s">
        <v>141</v>
      </c>
      <c r="B12" s="180" t="s">
        <v>235</v>
      </c>
      <c r="C12" s="75">
        <f>19053590.2</f>
        <v>19053590.199999999</v>
      </c>
      <c r="D12" s="4">
        <f>18701163.44</f>
        <v>18701163.440000001</v>
      </c>
      <c r="E12" s="4">
        <f>13196971</f>
        <v>13196971</v>
      </c>
      <c r="F12" s="5">
        <f>11975000.12</f>
        <v>11975000.119999999</v>
      </c>
      <c r="G12" s="6">
        <f>12663032</f>
        <v>12663032</v>
      </c>
      <c r="H12" s="7">
        <f>6777200</f>
        <v>6777200</v>
      </c>
      <c r="I12" s="7">
        <f>5900000</f>
        <v>5900000</v>
      </c>
      <c r="J12" s="7">
        <f>4120000</f>
        <v>4120000</v>
      </c>
      <c r="K12" s="7">
        <f>2190000</f>
        <v>2190000</v>
      </c>
      <c r="L12" s="7">
        <f>550000</f>
        <v>550000</v>
      </c>
      <c r="M12" s="7">
        <f>750000</f>
        <v>750000</v>
      </c>
      <c r="N12" s="7">
        <f t="shared" ref="N12:T12" si="1">500000</f>
        <v>500000</v>
      </c>
      <c r="O12" s="7">
        <f t="shared" si="1"/>
        <v>500000</v>
      </c>
      <c r="P12" s="7">
        <f t="shared" si="1"/>
        <v>500000</v>
      </c>
      <c r="Q12" s="7">
        <f t="shared" si="1"/>
        <v>500000</v>
      </c>
      <c r="R12" s="7">
        <f t="shared" si="1"/>
        <v>500000</v>
      </c>
      <c r="S12" s="7">
        <f t="shared" si="1"/>
        <v>500000</v>
      </c>
      <c r="T12" s="7">
        <f t="shared" si="1"/>
        <v>500000</v>
      </c>
    </row>
    <row r="13" spans="1:20" ht="18" customHeight="1">
      <c r="A13" s="123" t="s">
        <v>142</v>
      </c>
      <c r="B13" s="124" t="s">
        <v>143</v>
      </c>
      <c r="C13" s="75">
        <f>4862594.7</f>
        <v>4862594.7</v>
      </c>
      <c r="D13" s="4">
        <f>926571.82</f>
        <v>926571.82</v>
      </c>
      <c r="E13" s="4">
        <f>4709843</f>
        <v>4709843</v>
      </c>
      <c r="F13" s="5">
        <f>3518035.41</f>
        <v>3518035.41</v>
      </c>
      <c r="G13" s="6">
        <f>4277138</f>
        <v>4277138</v>
      </c>
      <c r="H13" s="7">
        <f>2270000</f>
        <v>2270000</v>
      </c>
      <c r="I13" s="7">
        <f>1200000</f>
        <v>1200000</v>
      </c>
      <c r="J13" s="7">
        <f>120000</f>
        <v>120000</v>
      </c>
      <c r="K13" s="7">
        <f>40000</f>
        <v>40000</v>
      </c>
      <c r="L13" s="7">
        <f>50000</f>
        <v>50000</v>
      </c>
      <c r="M13" s="7">
        <f>250000</f>
        <v>250000</v>
      </c>
      <c r="N13" s="7">
        <f>0</f>
        <v>0</v>
      </c>
      <c r="O13" s="7">
        <f>0</f>
        <v>0</v>
      </c>
      <c r="P13" s="7">
        <f>0</f>
        <v>0</v>
      </c>
      <c r="Q13" s="7">
        <f>0</f>
        <v>0</v>
      </c>
      <c r="R13" s="7">
        <f>0</f>
        <v>0</v>
      </c>
      <c r="S13" s="7">
        <f>0</f>
        <v>0</v>
      </c>
      <c r="T13" s="7">
        <f>0</f>
        <v>0</v>
      </c>
    </row>
    <row r="14" spans="1:20" ht="30.75" customHeight="1">
      <c r="A14" s="123" t="s">
        <v>144</v>
      </c>
      <c r="B14" s="124" t="s">
        <v>145</v>
      </c>
      <c r="C14" s="75">
        <f>14100719</f>
        <v>14100719</v>
      </c>
      <c r="D14" s="4">
        <f>17768942.48</f>
        <v>17768942.48</v>
      </c>
      <c r="E14" s="4">
        <f>8481128</f>
        <v>8481128</v>
      </c>
      <c r="F14" s="5">
        <f>8431128.27</f>
        <v>8431128.2699999996</v>
      </c>
      <c r="G14" s="6">
        <f>8296310</f>
        <v>8296310</v>
      </c>
      <c r="H14" s="7">
        <f>4507200</f>
        <v>4507200</v>
      </c>
      <c r="I14" s="7">
        <f>4700000</f>
        <v>4700000</v>
      </c>
      <c r="J14" s="7">
        <f>4000000</f>
        <v>4000000</v>
      </c>
      <c r="K14" s="7">
        <f>2150000</f>
        <v>2150000</v>
      </c>
      <c r="L14" s="7">
        <f t="shared" ref="L14:T14" si="2">500000</f>
        <v>500000</v>
      </c>
      <c r="M14" s="7">
        <f t="shared" si="2"/>
        <v>500000</v>
      </c>
      <c r="N14" s="7">
        <f t="shared" si="2"/>
        <v>500000</v>
      </c>
      <c r="O14" s="7">
        <f t="shared" si="2"/>
        <v>500000</v>
      </c>
      <c r="P14" s="7">
        <f t="shared" si="2"/>
        <v>500000</v>
      </c>
      <c r="Q14" s="7">
        <f t="shared" si="2"/>
        <v>500000</v>
      </c>
      <c r="R14" s="7">
        <f t="shared" si="2"/>
        <v>500000</v>
      </c>
      <c r="S14" s="7">
        <f t="shared" si="2"/>
        <v>500000</v>
      </c>
      <c r="T14" s="7">
        <f t="shared" si="2"/>
        <v>500000</v>
      </c>
    </row>
    <row r="15" spans="1:20" ht="18" customHeight="1">
      <c r="A15" s="126">
        <v>2</v>
      </c>
      <c r="B15" s="127" t="s">
        <v>146</v>
      </c>
      <c r="C15" s="76">
        <f>132768246.1</f>
        <v>132768246.09999999</v>
      </c>
      <c r="D15" s="1">
        <f>151231402.82</f>
        <v>151231402.81999999</v>
      </c>
      <c r="E15" s="1">
        <f>156860306.55</f>
        <v>156860306.55000001</v>
      </c>
      <c r="F15" s="2">
        <f>147895424.67</f>
        <v>147895424.66999999</v>
      </c>
      <c r="G15" s="140">
        <f>170964084.5</f>
        <v>170964084.5</v>
      </c>
      <c r="H15" s="3">
        <f>161150406</f>
        <v>161150406</v>
      </c>
      <c r="I15" s="3">
        <f>164110684</f>
        <v>164110684</v>
      </c>
      <c r="J15" s="3">
        <f>166784876</f>
        <v>166784876</v>
      </c>
      <c r="K15" s="3">
        <f>166787883</f>
        <v>166787883</v>
      </c>
      <c r="L15" s="3">
        <f>169879179</f>
        <v>169879179</v>
      </c>
      <c r="M15" s="3">
        <f>175135214</f>
        <v>175135214</v>
      </c>
      <c r="N15" s="3">
        <f>178906526</f>
        <v>178906526</v>
      </c>
      <c r="O15" s="3">
        <f>184093990</f>
        <v>184093990</v>
      </c>
      <c r="P15" s="3">
        <f>191236247</f>
        <v>191236247</v>
      </c>
      <c r="Q15" s="3">
        <f>195937345</f>
        <v>195937345</v>
      </c>
      <c r="R15" s="3">
        <f>200100157</f>
        <v>200100157</v>
      </c>
      <c r="S15" s="3">
        <f>211212660</f>
        <v>211212660</v>
      </c>
      <c r="T15" s="3">
        <f>215282724</f>
        <v>215282724</v>
      </c>
    </row>
    <row r="16" spans="1:20" ht="18" customHeight="1">
      <c r="A16" s="123" t="s">
        <v>147</v>
      </c>
      <c r="B16" s="180" t="s">
        <v>148</v>
      </c>
      <c r="C16" s="75">
        <f>104880266.03</f>
        <v>104880266.03</v>
      </c>
      <c r="D16" s="4">
        <f>114334644.46</f>
        <v>114334644.45999999</v>
      </c>
      <c r="E16" s="4">
        <f>132658152.55</f>
        <v>132658152.55</v>
      </c>
      <c r="F16" s="5">
        <f>127582243.88</f>
        <v>127582243.88</v>
      </c>
      <c r="G16" s="6">
        <f>142674971.5</f>
        <v>142674971.5</v>
      </c>
      <c r="H16" s="7">
        <f>147157470</f>
        <v>147157470</v>
      </c>
      <c r="I16" s="7">
        <f>150496291</f>
        <v>150496291</v>
      </c>
      <c r="J16" s="7">
        <f>154045352</f>
        <v>154045352</v>
      </c>
      <c r="K16" s="7">
        <f>155077971</f>
        <v>155077971</v>
      </c>
      <c r="L16" s="7">
        <f>159442835</f>
        <v>159442835</v>
      </c>
      <c r="M16" s="7">
        <f>163488539</f>
        <v>163488539</v>
      </c>
      <c r="N16" s="7">
        <f>167327238</f>
        <v>167327238</v>
      </c>
      <c r="O16" s="7">
        <f>171316944</f>
        <v>171316944</v>
      </c>
      <c r="P16" s="7">
        <f>175406582</f>
        <v>175406582</v>
      </c>
      <c r="Q16" s="7">
        <f>179598742</f>
        <v>179598742</v>
      </c>
      <c r="R16" s="7">
        <f>182914076</f>
        <v>182914076</v>
      </c>
      <c r="S16" s="7">
        <f>187486928</f>
        <v>187486928</v>
      </c>
      <c r="T16" s="7">
        <f>192174101</f>
        <v>192174101</v>
      </c>
    </row>
    <row r="17" spans="1:20" ht="18" customHeight="1">
      <c r="A17" s="123" t="s">
        <v>149</v>
      </c>
      <c r="B17" s="124" t="s">
        <v>236</v>
      </c>
      <c r="C17" s="75">
        <f>67448302.75</f>
        <v>67448302.75</v>
      </c>
      <c r="D17" s="4">
        <f>71472876.32</f>
        <v>71472876.319999993</v>
      </c>
      <c r="E17" s="4">
        <f>78934557</f>
        <v>78934557</v>
      </c>
      <c r="F17" s="5">
        <f>77428656.2</f>
        <v>77428656.200000003</v>
      </c>
      <c r="G17" s="6">
        <f>84824835</f>
        <v>84824835</v>
      </c>
      <c r="H17" s="7">
        <f>88350630</f>
        <v>88350630</v>
      </c>
      <c r="I17" s="7">
        <f>90559396</f>
        <v>90559396</v>
      </c>
      <c r="J17" s="7">
        <f>92823381</f>
        <v>92823381</v>
      </c>
      <c r="K17" s="7">
        <f>95143966</f>
        <v>95143966</v>
      </c>
      <c r="L17" s="7">
        <f>97522565</f>
        <v>97522565</v>
      </c>
      <c r="M17" s="7">
        <f>99960629</f>
        <v>99960629</v>
      </c>
      <c r="N17" s="7">
        <f>102459645</f>
        <v>102459645</v>
      </c>
      <c r="O17" s="7">
        <f>105021136</f>
        <v>105021136</v>
      </c>
      <c r="P17" s="7">
        <f>107646664</f>
        <v>107646664</v>
      </c>
      <c r="Q17" s="7">
        <f>110337831</f>
        <v>110337831</v>
      </c>
      <c r="R17" s="7">
        <f>113096277</f>
        <v>113096277</v>
      </c>
      <c r="S17" s="7">
        <f>115923684</f>
        <v>115923684</v>
      </c>
      <c r="T17" s="7">
        <f>118821776</f>
        <v>118821776</v>
      </c>
    </row>
    <row r="18" spans="1:20" ht="18" customHeight="1">
      <c r="A18" s="123" t="s">
        <v>150</v>
      </c>
      <c r="B18" s="124" t="s">
        <v>237</v>
      </c>
      <c r="C18" s="75">
        <f>431053.14</f>
        <v>431053.14</v>
      </c>
      <c r="D18" s="4">
        <f>428958</f>
        <v>428958</v>
      </c>
      <c r="E18" s="4">
        <f>2900000</f>
        <v>2900000</v>
      </c>
      <c r="F18" s="5">
        <f>2822280</f>
        <v>2822280</v>
      </c>
      <c r="G18" s="6">
        <f>2669050</f>
        <v>2669050</v>
      </c>
      <c r="H18" s="7">
        <f>2880000</f>
        <v>2880000</v>
      </c>
      <c r="I18" s="7">
        <f>2829250</f>
        <v>2829250</v>
      </c>
      <c r="J18" s="7">
        <f>2827000</f>
        <v>2827000</v>
      </c>
      <c r="K18" s="7">
        <f>274000</f>
        <v>274000</v>
      </c>
      <c r="L18" s="7">
        <f>911250</f>
        <v>911250</v>
      </c>
      <c r="M18" s="7">
        <f>1135000</f>
        <v>1135000</v>
      </c>
      <c r="N18" s="7">
        <f>1105000</f>
        <v>1105000</v>
      </c>
      <c r="O18" s="7">
        <f>1075000</f>
        <v>1075000</v>
      </c>
      <c r="P18" s="7">
        <f>1045000</f>
        <v>1045000</v>
      </c>
      <c r="Q18" s="7">
        <f>1015000</f>
        <v>1015000</v>
      </c>
      <c r="R18" s="7">
        <f>0</f>
        <v>0</v>
      </c>
      <c r="S18" s="7">
        <f>0</f>
        <v>0</v>
      </c>
      <c r="T18" s="7">
        <f>0</f>
        <v>0</v>
      </c>
    </row>
    <row r="19" spans="1:20" ht="42" customHeight="1">
      <c r="A19" s="123" t="s">
        <v>238</v>
      </c>
      <c r="B19" s="181" t="s">
        <v>239</v>
      </c>
      <c r="C19" s="75">
        <f>0</f>
        <v>0</v>
      </c>
      <c r="D19" s="4">
        <f>0</f>
        <v>0</v>
      </c>
      <c r="E19" s="4">
        <f>0</f>
        <v>0</v>
      </c>
      <c r="F19" s="5">
        <f>0</f>
        <v>0</v>
      </c>
      <c r="G19" s="6">
        <f>0</f>
        <v>0</v>
      </c>
      <c r="H19" s="7">
        <f>0</f>
        <v>0</v>
      </c>
      <c r="I19" s="7">
        <f>0</f>
        <v>0</v>
      </c>
      <c r="J19" s="7">
        <f>0</f>
        <v>0</v>
      </c>
      <c r="K19" s="7">
        <f>0</f>
        <v>0</v>
      </c>
      <c r="L19" s="7">
        <f>0</f>
        <v>0</v>
      </c>
      <c r="M19" s="7">
        <f>0</f>
        <v>0</v>
      </c>
      <c r="N19" s="7">
        <f>0</f>
        <v>0</v>
      </c>
      <c r="O19" s="7">
        <f>0</f>
        <v>0</v>
      </c>
      <c r="P19" s="7">
        <f>0</f>
        <v>0</v>
      </c>
      <c r="Q19" s="7">
        <f>0</f>
        <v>0</v>
      </c>
      <c r="R19" s="7">
        <f>0</f>
        <v>0</v>
      </c>
      <c r="S19" s="7">
        <f>0</f>
        <v>0</v>
      </c>
      <c r="T19" s="7">
        <f>0</f>
        <v>0</v>
      </c>
    </row>
    <row r="20" spans="1:20" ht="18.75" customHeight="1">
      <c r="A20" s="123" t="s">
        <v>151</v>
      </c>
      <c r="B20" s="124" t="s">
        <v>152</v>
      </c>
      <c r="C20" s="75">
        <f>1119766</f>
        <v>1119766</v>
      </c>
      <c r="D20" s="4">
        <f>1120444.53</f>
        <v>1120444.53</v>
      </c>
      <c r="E20" s="4">
        <f>1300000</f>
        <v>1300000</v>
      </c>
      <c r="F20" s="5">
        <f>1178256.98</f>
        <v>1178256.98</v>
      </c>
      <c r="G20" s="6">
        <f>1300000</f>
        <v>1300000</v>
      </c>
      <c r="H20" s="7">
        <f>1400000</f>
        <v>1400000</v>
      </c>
      <c r="I20" s="7">
        <f>1400000</f>
        <v>1400000</v>
      </c>
      <c r="J20" s="7">
        <f>1400000</f>
        <v>1400000</v>
      </c>
      <c r="K20" s="7">
        <f>1300000</f>
        <v>1300000</v>
      </c>
      <c r="L20" s="7">
        <f>1200000</f>
        <v>1200000</v>
      </c>
      <c r="M20" s="7">
        <f>1000000</f>
        <v>1000000</v>
      </c>
      <c r="N20" s="7">
        <f>810000</f>
        <v>810000</v>
      </c>
      <c r="O20" s="7">
        <f>670000</f>
        <v>670000</v>
      </c>
      <c r="P20" s="7">
        <f>500000</f>
        <v>500000</v>
      </c>
      <c r="Q20" s="7">
        <f>310000</f>
        <v>310000</v>
      </c>
      <c r="R20" s="7">
        <f>160000</f>
        <v>160000</v>
      </c>
      <c r="S20" s="7">
        <f>100000</f>
        <v>100000</v>
      </c>
      <c r="T20" s="7">
        <f>40000</f>
        <v>40000</v>
      </c>
    </row>
    <row r="21" spans="1:20" ht="92.25" customHeight="1">
      <c r="A21" s="123" t="s">
        <v>153</v>
      </c>
      <c r="B21" s="181" t="s">
        <v>154</v>
      </c>
      <c r="C21" s="75">
        <f>0</f>
        <v>0</v>
      </c>
      <c r="D21" s="4">
        <f>0</f>
        <v>0</v>
      </c>
      <c r="E21" s="4">
        <f>0</f>
        <v>0</v>
      </c>
      <c r="F21" s="5">
        <f>0</f>
        <v>0</v>
      </c>
      <c r="G21" s="6">
        <f>0</f>
        <v>0</v>
      </c>
      <c r="H21" s="7">
        <f>0</f>
        <v>0</v>
      </c>
      <c r="I21" s="7">
        <f>0</f>
        <v>0</v>
      </c>
      <c r="J21" s="7">
        <f>0</f>
        <v>0</v>
      </c>
      <c r="K21" s="7">
        <f>0</f>
        <v>0</v>
      </c>
      <c r="L21" s="7">
        <f>0</f>
        <v>0</v>
      </c>
      <c r="M21" s="7">
        <f>0</f>
        <v>0</v>
      </c>
      <c r="N21" s="7">
        <f>0</f>
        <v>0</v>
      </c>
      <c r="O21" s="7">
        <f>0</f>
        <v>0</v>
      </c>
      <c r="P21" s="7">
        <f>0</f>
        <v>0</v>
      </c>
      <c r="Q21" s="7">
        <f>0</f>
        <v>0</v>
      </c>
      <c r="R21" s="7">
        <f>0</f>
        <v>0</v>
      </c>
      <c r="S21" s="7">
        <f>0</f>
        <v>0</v>
      </c>
      <c r="T21" s="7">
        <f>0</f>
        <v>0</v>
      </c>
    </row>
    <row r="22" spans="1:20" ht="57.75" customHeight="1">
      <c r="A22" s="123" t="s">
        <v>240</v>
      </c>
      <c r="B22" s="181" t="s">
        <v>241</v>
      </c>
      <c r="C22" s="75">
        <f>0</f>
        <v>0</v>
      </c>
      <c r="D22" s="4">
        <f>0</f>
        <v>0</v>
      </c>
      <c r="E22" s="4">
        <f>0</f>
        <v>0</v>
      </c>
      <c r="F22" s="5">
        <f>0</f>
        <v>0</v>
      </c>
      <c r="G22" s="6">
        <f>0</f>
        <v>0</v>
      </c>
      <c r="H22" s="7">
        <f>0</f>
        <v>0</v>
      </c>
      <c r="I22" s="7">
        <f>0</f>
        <v>0</v>
      </c>
      <c r="J22" s="7">
        <f>0</f>
        <v>0</v>
      </c>
      <c r="K22" s="7">
        <f>0</f>
        <v>0</v>
      </c>
      <c r="L22" s="7">
        <f>0</f>
        <v>0</v>
      </c>
      <c r="M22" s="7">
        <f>0</f>
        <v>0</v>
      </c>
      <c r="N22" s="7">
        <f>0</f>
        <v>0</v>
      </c>
      <c r="O22" s="7">
        <f>0</f>
        <v>0</v>
      </c>
      <c r="P22" s="7">
        <f>0</f>
        <v>0</v>
      </c>
      <c r="Q22" s="7">
        <f>0</f>
        <v>0</v>
      </c>
      <c r="R22" s="7">
        <f>0</f>
        <v>0</v>
      </c>
      <c r="S22" s="7">
        <f>0</f>
        <v>0</v>
      </c>
      <c r="T22" s="7">
        <f>0</f>
        <v>0</v>
      </c>
    </row>
    <row r="23" spans="1:20" ht="44.25" customHeight="1">
      <c r="A23" s="123" t="s">
        <v>356</v>
      </c>
      <c r="B23" s="181" t="s">
        <v>357</v>
      </c>
      <c r="C23" s="75">
        <f>0</f>
        <v>0</v>
      </c>
      <c r="D23" s="4">
        <f>0</f>
        <v>0</v>
      </c>
      <c r="E23" s="4">
        <f>0</f>
        <v>0</v>
      </c>
      <c r="F23" s="5">
        <f>0</f>
        <v>0</v>
      </c>
      <c r="G23" s="6">
        <f>0</f>
        <v>0</v>
      </c>
      <c r="H23" s="7">
        <f>0</f>
        <v>0</v>
      </c>
      <c r="I23" s="7">
        <f>0</f>
        <v>0</v>
      </c>
      <c r="J23" s="7">
        <f>0</f>
        <v>0</v>
      </c>
      <c r="K23" s="7">
        <f>0</f>
        <v>0</v>
      </c>
      <c r="L23" s="7">
        <f>0</f>
        <v>0</v>
      </c>
      <c r="M23" s="7">
        <f>0</f>
        <v>0</v>
      </c>
      <c r="N23" s="7">
        <f>0</f>
        <v>0</v>
      </c>
      <c r="O23" s="7">
        <f>0</f>
        <v>0</v>
      </c>
      <c r="P23" s="7">
        <f>0</f>
        <v>0</v>
      </c>
      <c r="Q23" s="7">
        <f>0</f>
        <v>0</v>
      </c>
      <c r="R23" s="7">
        <f>0</f>
        <v>0</v>
      </c>
      <c r="S23" s="7">
        <f>0</f>
        <v>0</v>
      </c>
      <c r="T23" s="7">
        <f>0</f>
        <v>0</v>
      </c>
    </row>
    <row r="24" spans="1:20" ht="18" customHeight="1">
      <c r="A24" s="123" t="s">
        <v>155</v>
      </c>
      <c r="B24" s="180" t="s">
        <v>242</v>
      </c>
      <c r="C24" s="75">
        <f>27887980.07</f>
        <v>27887980.07</v>
      </c>
      <c r="D24" s="4">
        <f>36896758.36</f>
        <v>36896758.359999999</v>
      </c>
      <c r="E24" s="4">
        <f>24202154</f>
        <v>24202154</v>
      </c>
      <c r="F24" s="5">
        <f>20313180.79</f>
        <v>20313180.789999999</v>
      </c>
      <c r="G24" s="6">
        <f>28289113</f>
        <v>28289113</v>
      </c>
      <c r="H24" s="7">
        <f>13992936</f>
        <v>13992936</v>
      </c>
      <c r="I24" s="7">
        <f>13614393</f>
        <v>13614393</v>
      </c>
      <c r="J24" s="7">
        <f>12739524</f>
        <v>12739524</v>
      </c>
      <c r="K24" s="7">
        <f>11709912</f>
        <v>11709912</v>
      </c>
      <c r="L24" s="7">
        <f>10436344</f>
        <v>10436344</v>
      </c>
      <c r="M24" s="7">
        <f>11646675</f>
        <v>11646675</v>
      </c>
      <c r="N24" s="7">
        <f>11579288</f>
        <v>11579288</v>
      </c>
      <c r="O24" s="7">
        <f>12777046</f>
        <v>12777046</v>
      </c>
      <c r="P24" s="7">
        <f>15829665</f>
        <v>15829665</v>
      </c>
      <c r="Q24" s="7">
        <f>16338603</f>
        <v>16338603</v>
      </c>
      <c r="R24" s="7">
        <f>17186081</f>
        <v>17186081</v>
      </c>
      <c r="S24" s="7">
        <f>23725732</f>
        <v>23725732</v>
      </c>
      <c r="T24" s="7">
        <f>23108623</f>
        <v>23108623</v>
      </c>
    </row>
    <row r="25" spans="1:20" ht="29.25" customHeight="1">
      <c r="A25" s="123" t="s">
        <v>243</v>
      </c>
      <c r="B25" s="124" t="s">
        <v>244</v>
      </c>
      <c r="C25" s="75">
        <f>25897530.07</f>
        <v>25897530.07</v>
      </c>
      <c r="D25" s="4">
        <f>34906308.36</f>
        <v>34906308.359999999</v>
      </c>
      <c r="E25" s="4">
        <f>20505604</f>
        <v>20505604</v>
      </c>
      <c r="F25" s="5">
        <f>16254730.79</f>
        <v>16254730.789999999</v>
      </c>
      <c r="G25" s="6">
        <f>19913713</f>
        <v>19913713</v>
      </c>
      <c r="H25" s="7">
        <f>13992936</f>
        <v>13992936</v>
      </c>
      <c r="I25" s="7">
        <f>13614393</f>
        <v>13614393</v>
      </c>
      <c r="J25" s="7">
        <f>12739524</f>
        <v>12739524</v>
      </c>
      <c r="K25" s="7">
        <f>11709911</f>
        <v>11709911</v>
      </c>
      <c r="L25" s="7">
        <f>10436344</f>
        <v>10436344</v>
      </c>
      <c r="M25" s="7">
        <f>11646675</f>
        <v>11646675</v>
      </c>
      <c r="N25" s="7">
        <f>11579288</f>
        <v>11579288</v>
      </c>
      <c r="O25" s="7">
        <f>12777046</f>
        <v>12777046</v>
      </c>
      <c r="P25" s="7">
        <f>15829665</f>
        <v>15829665</v>
      </c>
      <c r="Q25" s="7">
        <f>16338603</f>
        <v>16338603</v>
      </c>
      <c r="R25" s="7">
        <f>17186081</f>
        <v>17186081</v>
      </c>
      <c r="S25" s="7">
        <f>23725732</f>
        <v>23725732</v>
      </c>
      <c r="T25" s="7">
        <f>23108623</f>
        <v>23108623</v>
      </c>
    </row>
    <row r="26" spans="1:20" ht="30.75" customHeight="1">
      <c r="A26" s="123" t="s">
        <v>245</v>
      </c>
      <c r="B26" s="181" t="s">
        <v>246</v>
      </c>
      <c r="C26" s="75">
        <f>582834</f>
        <v>582834</v>
      </c>
      <c r="D26" s="4">
        <f>627019.04</f>
        <v>627019.04</v>
      </c>
      <c r="E26" s="4">
        <f>280572</f>
        <v>280572</v>
      </c>
      <c r="F26" s="5">
        <f>152703.67</f>
        <v>152703.67000000001</v>
      </c>
      <c r="G26" s="6">
        <f>1040255</f>
        <v>1040255</v>
      </c>
      <c r="H26" s="7">
        <f>1097666</f>
        <v>1097666</v>
      </c>
      <c r="I26" s="7">
        <f>1000000</f>
        <v>1000000</v>
      </c>
      <c r="J26" s="7">
        <f>0</f>
        <v>0</v>
      </c>
      <c r="K26" s="7">
        <f>0</f>
        <v>0</v>
      </c>
      <c r="L26" s="7">
        <f>0</f>
        <v>0</v>
      </c>
      <c r="M26" s="7">
        <f>0</f>
        <v>0</v>
      </c>
      <c r="N26" s="7">
        <f>0</f>
        <v>0</v>
      </c>
      <c r="O26" s="7">
        <f>0</f>
        <v>0</v>
      </c>
      <c r="P26" s="7">
        <f>0</f>
        <v>0</v>
      </c>
      <c r="Q26" s="7">
        <f>0</f>
        <v>0</v>
      </c>
      <c r="R26" s="7">
        <f>0</f>
        <v>0</v>
      </c>
      <c r="S26" s="7">
        <f>0</f>
        <v>0</v>
      </c>
      <c r="T26" s="7">
        <f>0</f>
        <v>0</v>
      </c>
    </row>
    <row r="27" spans="1:20" ht="18.75" customHeight="1">
      <c r="A27" s="126">
        <v>3</v>
      </c>
      <c r="B27" s="127" t="s">
        <v>156</v>
      </c>
      <c r="C27" s="76">
        <f>3000832.44</f>
        <v>3000832.44</v>
      </c>
      <c r="D27" s="1">
        <f>-5961672.64</f>
        <v>-5961672.6399999997</v>
      </c>
      <c r="E27" s="1">
        <f>-5214591</f>
        <v>-5214591</v>
      </c>
      <c r="F27" s="2">
        <f>5420214.58</f>
        <v>5420214.5800000001</v>
      </c>
      <c r="G27" s="140">
        <f>-11612684</f>
        <v>-11612684</v>
      </c>
      <c r="H27" s="3">
        <f>362000</f>
        <v>362000</v>
      </c>
      <c r="I27" s="3">
        <f>1602000</f>
        <v>1602000</v>
      </c>
      <c r="J27" s="3">
        <f>2102000</f>
        <v>2102000</v>
      </c>
      <c r="K27" s="3">
        <f>5112000</f>
        <v>5112000</v>
      </c>
      <c r="L27" s="3">
        <f>5472000</f>
        <v>5472000</v>
      </c>
      <c r="M27" s="3">
        <f>5660000</f>
        <v>5660000</v>
      </c>
      <c r="N27" s="3">
        <f>6860000</f>
        <v>6860000</v>
      </c>
      <c r="O27" s="3">
        <f>6860000</f>
        <v>6860000</v>
      </c>
      <c r="P27" s="3">
        <f>4860000</f>
        <v>4860000</v>
      </c>
      <c r="Q27" s="3">
        <f>5440000</f>
        <v>5440000</v>
      </c>
      <c r="R27" s="3">
        <f>6500000</f>
        <v>6500000</v>
      </c>
      <c r="S27" s="3">
        <f>540000</f>
        <v>540000</v>
      </c>
      <c r="T27" s="3">
        <f>1540000</f>
        <v>1540000</v>
      </c>
    </row>
    <row r="28" spans="1:20" ht="42.75" customHeight="1">
      <c r="A28" s="123" t="s">
        <v>247</v>
      </c>
      <c r="B28" s="180" t="s">
        <v>248</v>
      </c>
      <c r="C28" s="75">
        <f>3000832.44</f>
        <v>3000832.44</v>
      </c>
      <c r="D28" s="4">
        <f>0</f>
        <v>0</v>
      </c>
      <c r="E28" s="4">
        <f>0</f>
        <v>0</v>
      </c>
      <c r="F28" s="5">
        <f>5420214.58</f>
        <v>5420214.5800000001</v>
      </c>
      <c r="G28" s="6">
        <f>0</f>
        <v>0</v>
      </c>
      <c r="H28" s="7">
        <f>362000</f>
        <v>362000</v>
      </c>
      <c r="I28" s="7">
        <f>1602000</f>
        <v>1602000</v>
      </c>
      <c r="J28" s="7">
        <f>2102000</f>
        <v>2102000</v>
      </c>
      <c r="K28" s="7">
        <f>5112000</f>
        <v>5112000</v>
      </c>
      <c r="L28" s="7">
        <f>5472000</f>
        <v>5472000</v>
      </c>
      <c r="M28" s="7">
        <f>5660000</f>
        <v>5660000</v>
      </c>
      <c r="N28" s="7">
        <f>6860000</f>
        <v>6860000</v>
      </c>
      <c r="O28" s="7">
        <f>6860000</f>
        <v>6860000</v>
      </c>
      <c r="P28" s="7">
        <f>4860000</f>
        <v>4860000</v>
      </c>
      <c r="Q28" s="7">
        <f>5440000</f>
        <v>5440000</v>
      </c>
      <c r="R28" s="7">
        <f>6500000</f>
        <v>6500000</v>
      </c>
      <c r="S28" s="7">
        <f>540000</f>
        <v>540000</v>
      </c>
      <c r="T28" s="7">
        <f>1540000</f>
        <v>1540000</v>
      </c>
    </row>
    <row r="29" spans="1:20" ht="18" customHeight="1">
      <c r="A29" s="126">
        <v>4</v>
      </c>
      <c r="B29" s="127" t="s">
        <v>157</v>
      </c>
      <c r="C29" s="76">
        <f>10166608.92</f>
        <v>10166608.92</v>
      </c>
      <c r="D29" s="1">
        <f>17440165.36</f>
        <v>17440165.359999999</v>
      </c>
      <c r="E29" s="1">
        <f>11002861</f>
        <v>11002861</v>
      </c>
      <c r="F29" s="2">
        <f>12707557.72</f>
        <v>12707557.720000001</v>
      </c>
      <c r="G29" s="140">
        <f>16867296</f>
        <v>16867296</v>
      </c>
      <c r="H29" s="3">
        <f>4300000</f>
        <v>4300000</v>
      </c>
      <c r="I29" s="3">
        <f>3300000</f>
        <v>3300000</v>
      </c>
      <c r="J29" s="3">
        <f>2700000</f>
        <v>2700000</v>
      </c>
      <c r="K29" s="3">
        <f>0</f>
        <v>0</v>
      </c>
      <c r="L29" s="3">
        <f>0</f>
        <v>0</v>
      </c>
      <c r="M29" s="3">
        <f>0</f>
        <v>0</v>
      </c>
      <c r="N29" s="3">
        <f>0</f>
        <v>0</v>
      </c>
      <c r="O29" s="3">
        <f>0</f>
        <v>0</v>
      </c>
      <c r="P29" s="3">
        <f>0</f>
        <v>0</v>
      </c>
      <c r="Q29" s="3">
        <f>0</f>
        <v>0</v>
      </c>
      <c r="R29" s="3">
        <f>0</f>
        <v>0</v>
      </c>
      <c r="S29" s="3">
        <f>0</f>
        <v>0</v>
      </c>
      <c r="T29" s="3">
        <f>0</f>
        <v>0</v>
      </c>
    </row>
    <row r="30" spans="1:20" ht="29.25" customHeight="1">
      <c r="A30" s="123" t="s">
        <v>158</v>
      </c>
      <c r="B30" s="180" t="s">
        <v>249</v>
      </c>
      <c r="C30" s="75">
        <f>5700000</f>
        <v>5700000</v>
      </c>
      <c r="D30" s="4">
        <f>10950000</f>
        <v>10950000</v>
      </c>
      <c r="E30" s="4">
        <f>7790000</f>
        <v>7790000</v>
      </c>
      <c r="F30" s="5">
        <f>7790000</f>
        <v>7790000</v>
      </c>
      <c r="G30" s="6">
        <f>8000000</f>
        <v>8000000</v>
      </c>
      <c r="H30" s="7">
        <f>4300000</f>
        <v>4300000</v>
      </c>
      <c r="I30" s="7">
        <f>3300000</f>
        <v>3300000</v>
      </c>
      <c r="J30" s="7">
        <f>2700000</f>
        <v>2700000</v>
      </c>
      <c r="K30" s="7">
        <f>0</f>
        <v>0</v>
      </c>
      <c r="L30" s="7">
        <f>0</f>
        <v>0</v>
      </c>
      <c r="M30" s="7">
        <f>0</f>
        <v>0</v>
      </c>
      <c r="N30" s="7">
        <f>0</f>
        <v>0</v>
      </c>
      <c r="O30" s="7">
        <f>0</f>
        <v>0</v>
      </c>
      <c r="P30" s="7">
        <f>0</f>
        <v>0</v>
      </c>
      <c r="Q30" s="7">
        <f>0</f>
        <v>0</v>
      </c>
      <c r="R30" s="7">
        <f>0</f>
        <v>0</v>
      </c>
      <c r="S30" s="7">
        <f>0</f>
        <v>0</v>
      </c>
      <c r="T30" s="7">
        <f>0</f>
        <v>0</v>
      </c>
    </row>
    <row r="31" spans="1:20" ht="18" customHeight="1">
      <c r="A31" s="123" t="s">
        <v>159</v>
      </c>
      <c r="B31" s="124" t="s">
        <v>250</v>
      </c>
      <c r="C31" s="75">
        <f>0</f>
        <v>0</v>
      </c>
      <c r="D31" s="4">
        <f>5961672.64</f>
        <v>5961672.6399999997</v>
      </c>
      <c r="E31" s="4">
        <f>5214591</f>
        <v>5214591</v>
      </c>
      <c r="F31" s="5">
        <f>0</f>
        <v>0</v>
      </c>
      <c r="G31" s="6">
        <f>6620782</f>
        <v>6620782</v>
      </c>
      <c r="H31" s="7">
        <f>0</f>
        <v>0</v>
      </c>
      <c r="I31" s="7">
        <f>0</f>
        <v>0</v>
      </c>
      <c r="J31" s="7">
        <f>0</f>
        <v>0</v>
      </c>
      <c r="K31" s="7">
        <f>0</f>
        <v>0</v>
      </c>
      <c r="L31" s="7">
        <f>0</f>
        <v>0</v>
      </c>
      <c r="M31" s="7">
        <f>0</f>
        <v>0</v>
      </c>
      <c r="N31" s="7">
        <f>0</f>
        <v>0</v>
      </c>
      <c r="O31" s="7">
        <f>0</f>
        <v>0</v>
      </c>
      <c r="P31" s="7">
        <f>0</f>
        <v>0</v>
      </c>
      <c r="Q31" s="7">
        <f>0</f>
        <v>0</v>
      </c>
      <c r="R31" s="7">
        <f>0</f>
        <v>0</v>
      </c>
      <c r="S31" s="7">
        <f>0</f>
        <v>0</v>
      </c>
      <c r="T31" s="7">
        <f>0</f>
        <v>0</v>
      </c>
    </row>
    <row r="32" spans="1:20" ht="18" customHeight="1">
      <c r="A32" s="123" t="s">
        <v>160</v>
      </c>
      <c r="B32" s="180" t="s">
        <v>251</v>
      </c>
      <c r="C32" s="75">
        <f>0</f>
        <v>0</v>
      </c>
      <c r="D32" s="4">
        <f>0</f>
        <v>0</v>
      </c>
      <c r="E32" s="4">
        <f>0</f>
        <v>0</v>
      </c>
      <c r="F32" s="5">
        <f>0</f>
        <v>0</v>
      </c>
      <c r="G32" s="6">
        <f>4991902</f>
        <v>4991902</v>
      </c>
      <c r="H32" s="7">
        <f>0</f>
        <v>0</v>
      </c>
      <c r="I32" s="7">
        <f>0</f>
        <v>0</v>
      </c>
      <c r="J32" s="7">
        <f>0</f>
        <v>0</v>
      </c>
      <c r="K32" s="7">
        <f>0</f>
        <v>0</v>
      </c>
      <c r="L32" s="7">
        <f>0</f>
        <v>0</v>
      </c>
      <c r="M32" s="7">
        <f>0</f>
        <v>0</v>
      </c>
      <c r="N32" s="7">
        <f>0</f>
        <v>0</v>
      </c>
      <c r="O32" s="7">
        <f>0</f>
        <v>0</v>
      </c>
      <c r="P32" s="7">
        <f>0</f>
        <v>0</v>
      </c>
      <c r="Q32" s="7">
        <f>0</f>
        <v>0</v>
      </c>
      <c r="R32" s="7">
        <f>0</f>
        <v>0</v>
      </c>
      <c r="S32" s="7">
        <f>0</f>
        <v>0</v>
      </c>
      <c r="T32" s="7">
        <f>0</f>
        <v>0</v>
      </c>
    </row>
    <row r="33" spans="1:20" ht="18" customHeight="1">
      <c r="A33" s="123" t="s">
        <v>161</v>
      </c>
      <c r="B33" s="124" t="s">
        <v>250</v>
      </c>
      <c r="C33" s="75">
        <f>0</f>
        <v>0</v>
      </c>
      <c r="D33" s="4">
        <f>0</f>
        <v>0</v>
      </c>
      <c r="E33" s="4">
        <f>0</f>
        <v>0</v>
      </c>
      <c r="F33" s="5">
        <f>0</f>
        <v>0</v>
      </c>
      <c r="G33" s="6">
        <f>4991902</f>
        <v>4991902</v>
      </c>
      <c r="H33" s="7">
        <f>0</f>
        <v>0</v>
      </c>
      <c r="I33" s="7">
        <f>0</f>
        <v>0</v>
      </c>
      <c r="J33" s="7">
        <f>0</f>
        <v>0</v>
      </c>
      <c r="K33" s="7">
        <f>0</f>
        <v>0</v>
      </c>
      <c r="L33" s="7">
        <f>0</f>
        <v>0</v>
      </c>
      <c r="M33" s="7">
        <f>0</f>
        <v>0</v>
      </c>
      <c r="N33" s="7">
        <f>0</f>
        <v>0</v>
      </c>
      <c r="O33" s="7">
        <f>0</f>
        <v>0</v>
      </c>
      <c r="P33" s="7">
        <f>0</f>
        <v>0</v>
      </c>
      <c r="Q33" s="7">
        <f>0</f>
        <v>0</v>
      </c>
      <c r="R33" s="7">
        <f>0</f>
        <v>0</v>
      </c>
      <c r="S33" s="7">
        <f>0</f>
        <v>0</v>
      </c>
      <c r="T33" s="7">
        <f>0</f>
        <v>0</v>
      </c>
    </row>
    <row r="34" spans="1:20" ht="30" customHeight="1">
      <c r="A34" s="123" t="s">
        <v>162</v>
      </c>
      <c r="B34" s="180" t="s">
        <v>252</v>
      </c>
      <c r="C34" s="75">
        <f>4466608.92</f>
        <v>4466608.92</v>
      </c>
      <c r="D34" s="4">
        <f>6490165.36</f>
        <v>6490165.3600000003</v>
      </c>
      <c r="E34" s="4">
        <f>3212861</f>
        <v>3212861</v>
      </c>
      <c r="F34" s="5">
        <f>4917557.72</f>
        <v>4917557.72</v>
      </c>
      <c r="G34" s="6">
        <f>3875394</f>
        <v>3875394</v>
      </c>
      <c r="H34" s="7">
        <f>0</f>
        <v>0</v>
      </c>
      <c r="I34" s="7">
        <f>0</f>
        <v>0</v>
      </c>
      <c r="J34" s="7">
        <f>0</f>
        <v>0</v>
      </c>
      <c r="K34" s="7">
        <f>0</f>
        <v>0</v>
      </c>
      <c r="L34" s="7">
        <f>0</f>
        <v>0</v>
      </c>
      <c r="M34" s="7">
        <f>0</f>
        <v>0</v>
      </c>
      <c r="N34" s="7">
        <f>0</f>
        <v>0</v>
      </c>
      <c r="O34" s="7">
        <f>0</f>
        <v>0</v>
      </c>
      <c r="P34" s="7">
        <f>0</f>
        <v>0</v>
      </c>
      <c r="Q34" s="7">
        <f>0</f>
        <v>0</v>
      </c>
      <c r="R34" s="7">
        <f>0</f>
        <v>0</v>
      </c>
      <c r="S34" s="7">
        <f>0</f>
        <v>0</v>
      </c>
      <c r="T34" s="7">
        <f>0</f>
        <v>0</v>
      </c>
    </row>
    <row r="35" spans="1:20" ht="18.75" customHeight="1">
      <c r="A35" s="123" t="s">
        <v>163</v>
      </c>
      <c r="B35" s="124" t="s">
        <v>250</v>
      </c>
      <c r="C35" s="75">
        <f>0</f>
        <v>0</v>
      </c>
      <c r="D35" s="4">
        <f>0</f>
        <v>0</v>
      </c>
      <c r="E35" s="4">
        <f>0</f>
        <v>0</v>
      </c>
      <c r="F35" s="5">
        <f>0</f>
        <v>0</v>
      </c>
      <c r="G35" s="6">
        <f>0</f>
        <v>0</v>
      </c>
      <c r="H35" s="7">
        <f>0</f>
        <v>0</v>
      </c>
      <c r="I35" s="7">
        <f>0</f>
        <v>0</v>
      </c>
      <c r="J35" s="7">
        <f>0</f>
        <v>0</v>
      </c>
      <c r="K35" s="7">
        <f>0</f>
        <v>0</v>
      </c>
      <c r="L35" s="7">
        <f>0</f>
        <v>0</v>
      </c>
      <c r="M35" s="7">
        <f>0</f>
        <v>0</v>
      </c>
      <c r="N35" s="7">
        <f>0</f>
        <v>0</v>
      </c>
      <c r="O35" s="7">
        <f>0</f>
        <v>0</v>
      </c>
      <c r="P35" s="7">
        <f>0</f>
        <v>0</v>
      </c>
      <c r="Q35" s="7">
        <f>0</f>
        <v>0</v>
      </c>
      <c r="R35" s="7">
        <f>0</f>
        <v>0</v>
      </c>
      <c r="S35" s="7">
        <f>0</f>
        <v>0</v>
      </c>
      <c r="T35" s="7">
        <f>0</f>
        <v>0</v>
      </c>
    </row>
    <row r="36" spans="1:20" ht="29.25" customHeight="1">
      <c r="A36" s="123" t="s">
        <v>164</v>
      </c>
      <c r="B36" s="180" t="s">
        <v>253</v>
      </c>
      <c r="C36" s="75">
        <f>0</f>
        <v>0</v>
      </c>
      <c r="D36" s="4">
        <f>0</f>
        <v>0</v>
      </c>
      <c r="E36" s="4">
        <f>0</f>
        <v>0</v>
      </c>
      <c r="F36" s="5">
        <f>0</f>
        <v>0</v>
      </c>
      <c r="G36" s="6">
        <f>0</f>
        <v>0</v>
      </c>
      <c r="H36" s="7">
        <f>0</f>
        <v>0</v>
      </c>
      <c r="I36" s="7">
        <f>0</f>
        <v>0</v>
      </c>
      <c r="J36" s="7">
        <f>0</f>
        <v>0</v>
      </c>
      <c r="K36" s="7">
        <f>0</f>
        <v>0</v>
      </c>
      <c r="L36" s="7">
        <f>0</f>
        <v>0</v>
      </c>
      <c r="M36" s="7">
        <f>0</f>
        <v>0</v>
      </c>
      <c r="N36" s="7">
        <f>0</f>
        <v>0</v>
      </c>
      <c r="O36" s="7">
        <f>0</f>
        <v>0</v>
      </c>
      <c r="P36" s="7">
        <f>0</f>
        <v>0</v>
      </c>
      <c r="Q36" s="7">
        <f>0</f>
        <v>0</v>
      </c>
      <c r="R36" s="7">
        <f>0</f>
        <v>0</v>
      </c>
      <c r="S36" s="7">
        <f>0</f>
        <v>0</v>
      </c>
      <c r="T36" s="7">
        <f>0</f>
        <v>0</v>
      </c>
    </row>
    <row r="37" spans="1:20" ht="18" customHeight="1">
      <c r="A37" s="123" t="s">
        <v>165</v>
      </c>
      <c r="B37" s="124" t="s">
        <v>250</v>
      </c>
      <c r="C37" s="75">
        <f>0</f>
        <v>0</v>
      </c>
      <c r="D37" s="4">
        <f>0</f>
        <v>0</v>
      </c>
      <c r="E37" s="4">
        <f>0</f>
        <v>0</v>
      </c>
      <c r="F37" s="5">
        <f>0</f>
        <v>0</v>
      </c>
      <c r="G37" s="6">
        <f>0</f>
        <v>0</v>
      </c>
      <c r="H37" s="7">
        <f>0</f>
        <v>0</v>
      </c>
      <c r="I37" s="7">
        <f>0</f>
        <v>0</v>
      </c>
      <c r="J37" s="7">
        <f>0</f>
        <v>0</v>
      </c>
      <c r="K37" s="7">
        <f>0</f>
        <v>0</v>
      </c>
      <c r="L37" s="7">
        <f>0</f>
        <v>0</v>
      </c>
      <c r="M37" s="7">
        <f>0</f>
        <v>0</v>
      </c>
      <c r="N37" s="7">
        <f>0</f>
        <v>0</v>
      </c>
      <c r="O37" s="7">
        <f>0</f>
        <v>0</v>
      </c>
      <c r="P37" s="7">
        <f>0</f>
        <v>0</v>
      </c>
      <c r="Q37" s="7">
        <f>0</f>
        <v>0</v>
      </c>
      <c r="R37" s="7">
        <f>0</f>
        <v>0</v>
      </c>
      <c r="S37" s="7">
        <f>0</f>
        <v>0</v>
      </c>
      <c r="T37" s="7">
        <f>0</f>
        <v>0</v>
      </c>
    </row>
    <row r="38" spans="1:20" ht="29.25" customHeight="1">
      <c r="A38" s="123" t="s">
        <v>254</v>
      </c>
      <c r="B38" s="180" t="s">
        <v>255</v>
      </c>
      <c r="C38" s="75">
        <f>0</f>
        <v>0</v>
      </c>
      <c r="D38" s="4">
        <f>0</f>
        <v>0</v>
      </c>
      <c r="E38" s="4">
        <f>0</f>
        <v>0</v>
      </c>
      <c r="F38" s="5">
        <f>0</f>
        <v>0</v>
      </c>
      <c r="G38" s="6">
        <f>0</f>
        <v>0</v>
      </c>
      <c r="H38" s="7">
        <f>0</f>
        <v>0</v>
      </c>
      <c r="I38" s="7">
        <f>0</f>
        <v>0</v>
      </c>
      <c r="J38" s="7">
        <f>0</f>
        <v>0</v>
      </c>
      <c r="K38" s="7">
        <f>0</f>
        <v>0</v>
      </c>
      <c r="L38" s="7">
        <f>0</f>
        <v>0</v>
      </c>
      <c r="M38" s="7">
        <f>0</f>
        <v>0</v>
      </c>
      <c r="N38" s="7">
        <f>0</f>
        <v>0</v>
      </c>
      <c r="O38" s="7">
        <f>0</f>
        <v>0</v>
      </c>
      <c r="P38" s="7">
        <f>0</f>
        <v>0</v>
      </c>
      <c r="Q38" s="7">
        <f>0</f>
        <v>0</v>
      </c>
      <c r="R38" s="7">
        <f>0</f>
        <v>0</v>
      </c>
      <c r="S38" s="7">
        <f>0</f>
        <v>0</v>
      </c>
      <c r="T38" s="7">
        <f>0</f>
        <v>0</v>
      </c>
    </row>
    <row r="39" spans="1:20" ht="18" customHeight="1">
      <c r="A39" s="123" t="s">
        <v>256</v>
      </c>
      <c r="B39" s="124" t="s">
        <v>250</v>
      </c>
      <c r="C39" s="75">
        <f>0</f>
        <v>0</v>
      </c>
      <c r="D39" s="4">
        <f>0</f>
        <v>0</v>
      </c>
      <c r="E39" s="4">
        <f>0</f>
        <v>0</v>
      </c>
      <c r="F39" s="5">
        <f>0</f>
        <v>0</v>
      </c>
      <c r="G39" s="6">
        <f>0</f>
        <v>0</v>
      </c>
      <c r="H39" s="7">
        <f>0</f>
        <v>0</v>
      </c>
      <c r="I39" s="7">
        <f>0</f>
        <v>0</v>
      </c>
      <c r="J39" s="7">
        <f>0</f>
        <v>0</v>
      </c>
      <c r="K39" s="7">
        <f>0</f>
        <v>0</v>
      </c>
      <c r="L39" s="7">
        <f>0</f>
        <v>0</v>
      </c>
      <c r="M39" s="7">
        <f>0</f>
        <v>0</v>
      </c>
      <c r="N39" s="7">
        <f>0</f>
        <v>0</v>
      </c>
      <c r="O39" s="7">
        <f>0</f>
        <v>0</v>
      </c>
      <c r="P39" s="7">
        <f>0</f>
        <v>0</v>
      </c>
      <c r="Q39" s="7">
        <f>0</f>
        <v>0</v>
      </c>
      <c r="R39" s="7">
        <f>0</f>
        <v>0</v>
      </c>
      <c r="S39" s="7">
        <f>0</f>
        <v>0</v>
      </c>
      <c r="T39" s="7">
        <f>0</f>
        <v>0</v>
      </c>
    </row>
    <row r="40" spans="1:20" ht="23.25" customHeight="1">
      <c r="A40" s="126">
        <v>5</v>
      </c>
      <c r="B40" s="127" t="s">
        <v>166</v>
      </c>
      <c r="C40" s="76">
        <f>6677276</f>
        <v>6677276</v>
      </c>
      <c r="D40" s="1">
        <f>6560935</f>
        <v>6560935</v>
      </c>
      <c r="E40" s="1">
        <f>5788270</f>
        <v>5788270</v>
      </c>
      <c r="F40" s="2">
        <f>5788270</f>
        <v>5788270</v>
      </c>
      <c r="G40" s="140">
        <f>5254612</f>
        <v>5254612</v>
      </c>
      <c r="H40" s="3">
        <f>4662000</f>
        <v>4662000</v>
      </c>
      <c r="I40" s="3">
        <f>4902000</f>
        <v>4902000</v>
      </c>
      <c r="J40" s="3">
        <f>4802000</f>
        <v>4802000</v>
      </c>
      <c r="K40" s="3">
        <f>5112000</f>
        <v>5112000</v>
      </c>
      <c r="L40" s="3">
        <f>5472000</f>
        <v>5472000</v>
      </c>
      <c r="M40" s="3">
        <f>5660000</f>
        <v>5660000</v>
      </c>
      <c r="N40" s="3">
        <f>6860000</f>
        <v>6860000</v>
      </c>
      <c r="O40" s="3">
        <f>6860000</f>
        <v>6860000</v>
      </c>
      <c r="P40" s="3">
        <f>4860000</f>
        <v>4860000</v>
      </c>
      <c r="Q40" s="3">
        <f>5440000</f>
        <v>5440000</v>
      </c>
      <c r="R40" s="3">
        <f>6500000</f>
        <v>6500000</v>
      </c>
      <c r="S40" s="3">
        <f>540000</f>
        <v>540000</v>
      </c>
      <c r="T40" s="3">
        <f>1540000</f>
        <v>1540000</v>
      </c>
    </row>
    <row r="41" spans="1:20" ht="33.75" customHeight="1">
      <c r="A41" s="123" t="s">
        <v>167</v>
      </c>
      <c r="B41" s="180" t="s">
        <v>257</v>
      </c>
      <c r="C41" s="75">
        <f>6677276</f>
        <v>6677276</v>
      </c>
      <c r="D41" s="4">
        <f>6560935</f>
        <v>6560935</v>
      </c>
      <c r="E41" s="4">
        <f>5788270</f>
        <v>5788270</v>
      </c>
      <c r="F41" s="5">
        <f>5788270</f>
        <v>5788270</v>
      </c>
      <c r="G41" s="6">
        <f>5254612</f>
        <v>5254612</v>
      </c>
      <c r="H41" s="7">
        <f>4662000</f>
        <v>4662000</v>
      </c>
      <c r="I41" s="7">
        <f>4902000</f>
        <v>4902000</v>
      </c>
      <c r="J41" s="7">
        <f>4802000</f>
        <v>4802000</v>
      </c>
      <c r="K41" s="7">
        <f>5112000</f>
        <v>5112000</v>
      </c>
      <c r="L41" s="7">
        <f>5472000</f>
        <v>5472000</v>
      </c>
      <c r="M41" s="7">
        <f>5660000</f>
        <v>5660000</v>
      </c>
      <c r="N41" s="7">
        <f>6860000</f>
        <v>6860000</v>
      </c>
      <c r="O41" s="7">
        <f>6860000</f>
        <v>6860000</v>
      </c>
      <c r="P41" s="7">
        <f>4860000</f>
        <v>4860000</v>
      </c>
      <c r="Q41" s="7">
        <f>5440000</f>
        <v>5440000</v>
      </c>
      <c r="R41" s="7">
        <f>6500000</f>
        <v>6500000</v>
      </c>
      <c r="S41" s="7">
        <f>540000</f>
        <v>540000</v>
      </c>
      <c r="T41" s="7">
        <f>1540000</f>
        <v>1540000</v>
      </c>
    </row>
    <row r="42" spans="1:20" ht="42.75" customHeight="1">
      <c r="A42" s="123" t="s">
        <v>168</v>
      </c>
      <c r="B42" s="124" t="s">
        <v>258</v>
      </c>
      <c r="C42" s="75">
        <f>0</f>
        <v>0</v>
      </c>
      <c r="D42" s="4">
        <f>0</f>
        <v>0</v>
      </c>
      <c r="E42" s="4">
        <f>0</f>
        <v>0</v>
      </c>
      <c r="F42" s="5">
        <f>0</f>
        <v>0</v>
      </c>
      <c r="G42" s="6">
        <f>0</f>
        <v>0</v>
      </c>
      <c r="H42" s="7">
        <f>0</f>
        <v>0</v>
      </c>
      <c r="I42" s="7">
        <f>0</f>
        <v>0</v>
      </c>
      <c r="J42" s="7">
        <f>0</f>
        <v>0</v>
      </c>
      <c r="K42" s="7">
        <f>0</f>
        <v>0</v>
      </c>
      <c r="L42" s="7">
        <f>0</f>
        <v>0</v>
      </c>
      <c r="M42" s="7">
        <f>0</f>
        <v>0</v>
      </c>
      <c r="N42" s="7">
        <f>0</f>
        <v>0</v>
      </c>
      <c r="O42" s="7">
        <f>0</f>
        <v>0</v>
      </c>
      <c r="P42" s="7">
        <f>0</f>
        <v>0</v>
      </c>
      <c r="Q42" s="7">
        <f>0</f>
        <v>0</v>
      </c>
      <c r="R42" s="7">
        <f>0</f>
        <v>0</v>
      </c>
      <c r="S42" s="7">
        <f>0</f>
        <v>0</v>
      </c>
      <c r="T42" s="7">
        <f>0</f>
        <v>0</v>
      </c>
    </row>
    <row r="43" spans="1:20" ht="42" customHeight="1">
      <c r="A43" s="123" t="s">
        <v>169</v>
      </c>
      <c r="B43" s="181" t="s">
        <v>259</v>
      </c>
      <c r="C43" s="75">
        <f>0</f>
        <v>0</v>
      </c>
      <c r="D43" s="4">
        <f>0</f>
        <v>0</v>
      </c>
      <c r="E43" s="4">
        <f>0</f>
        <v>0</v>
      </c>
      <c r="F43" s="5">
        <f>0</f>
        <v>0</v>
      </c>
      <c r="G43" s="6">
        <f>0</f>
        <v>0</v>
      </c>
      <c r="H43" s="7">
        <f>0</f>
        <v>0</v>
      </c>
      <c r="I43" s="7">
        <f>0</f>
        <v>0</v>
      </c>
      <c r="J43" s="7">
        <f>0</f>
        <v>0</v>
      </c>
      <c r="K43" s="7">
        <f>0</f>
        <v>0</v>
      </c>
      <c r="L43" s="7">
        <f>0</f>
        <v>0</v>
      </c>
      <c r="M43" s="7">
        <f>0</f>
        <v>0</v>
      </c>
      <c r="N43" s="7">
        <f>0</f>
        <v>0</v>
      </c>
      <c r="O43" s="7">
        <f>0</f>
        <v>0</v>
      </c>
      <c r="P43" s="7">
        <f>0</f>
        <v>0</v>
      </c>
      <c r="Q43" s="7">
        <f>0</f>
        <v>0</v>
      </c>
      <c r="R43" s="7">
        <f>0</f>
        <v>0</v>
      </c>
      <c r="S43" s="7">
        <f>0</f>
        <v>0</v>
      </c>
      <c r="T43" s="7">
        <f>0</f>
        <v>0</v>
      </c>
    </row>
    <row r="44" spans="1:20" ht="43.5" customHeight="1">
      <c r="A44" s="123" t="s">
        <v>170</v>
      </c>
      <c r="B44" s="181" t="s">
        <v>260</v>
      </c>
      <c r="C44" s="75">
        <f>0</f>
        <v>0</v>
      </c>
      <c r="D44" s="4">
        <f>0</f>
        <v>0</v>
      </c>
      <c r="E44" s="4">
        <f>0</f>
        <v>0</v>
      </c>
      <c r="F44" s="5">
        <f>0</f>
        <v>0</v>
      </c>
      <c r="G44" s="6">
        <f>0</f>
        <v>0</v>
      </c>
      <c r="H44" s="7">
        <f>0</f>
        <v>0</v>
      </c>
      <c r="I44" s="7">
        <f>0</f>
        <v>0</v>
      </c>
      <c r="J44" s="7">
        <f>0</f>
        <v>0</v>
      </c>
      <c r="K44" s="7">
        <f>0</f>
        <v>0</v>
      </c>
      <c r="L44" s="7">
        <f>0</f>
        <v>0</v>
      </c>
      <c r="M44" s="7">
        <f>0</f>
        <v>0</v>
      </c>
      <c r="N44" s="7">
        <f>0</f>
        <v>0</v>
      </c>
      <c r="O44" s="7">
        <f>0</f>
        <v>0</v>
      </c>
      <c r="P44" s="7">
        <f>0</f>
        <v>0</v>
      </c>
      <c r="Q44" s="7">
        <f>0</f>
        <v>0</v>
      </c>
      <c r="R44" s="7">
        <f>0</f>
        <v>0</v>
      </c>
      <c r="S44" s="7">
        <f>0</f>
        <v>0</v>
      </c>
      <c r="T44" s="7">
        <f>0</f>
        <v>0</v>
      </c>
    </row>
    <row r="45" spans="1:20" ht="46.5" customHeight="1">
      <c r="A45" s="123" t="s">
        <v>171</v>
      </c>
      <c r="B45" s="181" t="s">
        <v>261</v>
      </c>
      <c r="C45" s="75">
        <f>0</f>
        <v>0</v>
      </c>
      <c r="D45" s="4">
        <f>0</f>
        <v>0</v>
      </c>
      <c r="E45" s="4">
        <f>0</f>
        <v>0</v>
      </c>
      <c r="F45" s="5">
        <f>0</f>
        <v>0</v>
      </c>
      <c r="G45" s="6">
        <f>0</f>
        <v>0</v>
      </c>
      <c r="H45" s="7">
        <f>0</f>
        <v>0</v>
      </c>
      <c r="I45" s="7">
        <f>0</f>
        <v>0</v>
      </c>
      <c r="J45" s="7">
        <f>0</f>
        <v>0</v>
      </c>
      <c r="K45" s="7">
        <f>0</f>
        <v>0</v>
      </c>
      <c r="L45" s="7">
        <f>0</f>
        <v>0</v>
      </c>
      <c r="M45" s="7">
        <f>0</f>
        <v>0</v>
      </c>
      <c r="N45" s="7">
        <f>0</f>
        <v>0</v>
      </c>
      <c r="O45" s="7">
        <f>0</f>
        <v>0</v>
      </c>
      <c r="P45" s="7">
        <f>0</f>
        <v>0</v>
      </c>
      <c r="Q45" s="7">
        <f>0</f>
        <v>0</v>
      </c>
      <c r="R45" s="7">
        <f>0</f>
        <v>0</v>
      </c>
      <c r="S45" s="7">
        <f>0</f>
        <v>0</v>
      </c>
      <c r="T45" s="7">
        <f>0</f>
        <v>0</v>
      </c>
    </row>
    <row r="46" spans="1:20" ht="22.5" customHeight="1">
      <c r="A46" s="123" t="s">
        <v>262</v>
      </c>
      <c r="B46" s="125" t="s">
        <v>263</v>
      </c>
      <c r="C46" s="75">
        <f>0</f>
        <v>0</v>
      </c>
      <c r="D46" s="4">
        <f>0</f>
        <v>0</v>
      </c>
      <c r="E46" s="4">
        <f>0</f>
        <v>0</v>
      </c>
      <c r="F46" s="5">
        <f>0</f>
        <v>0</v>
      </c>
      <c r="G46" s="6">
        <f>0</f>
        <v>0</v>
      </c>
      <c r="H46" s="7">
        <f>0</f>
        <v>0</v>
      </c>
      <c r="I46" s="7">
        <f>0</f>
        <v>0</v>
      </c>
      <c r="J46" s="7">
        <f>0</f>
        <v>0</v>
      </c>
      <c r="K46" s="7">
        <f>0</f>
        <v>0</v>
      </c>
      <c r="L46" s="7">
        <f>0</f>
        <v>0</v>
      </c>
      <c r="M46" s="7">
        <f>0</f>
        <v>0</v>
      </c>
      <c r="N46" s="7">
        <f>0</f>
        <v>0</v>
      </c>
      <c r="O46" s="7">
        <f>0</f>
        <v>0</v>
      </c>
      <c r="P46" s="7">
        <f>0</f>
        <v>0</v>
      </c>
      <c r="Q46" s="7">
        <f>0</f>
        <v>0</v>
      </c>
      <c r="R46" s="7">
        <f>0</f>
        <v>0</v>
      </c>
      <c r="S46" s="7">
        <f>0</f>
        <v>0</v>
      </c>
      <c r="T46" s="7">
        <f>0</f>
        <v>0</v>
      </c>
    </row>
    <row r="47" spans="1:20" ht="32.25" customHeight="1">
      <c r="A47" s="123" t="s">
        <v>264</v>
      </c>
      <c r="B47" s="125" t="s">
        <v>265</v>
      </c>
      <c r="C47" s="75">
        <f>0</f>
        <v>0</v>
      </c>
      <c r="D47" s="4">
        <f>0</f>
        <v>0</v>
      </c>
      <c r="E47" s="4">
        <f>0</f>
        <v>0</v>
      </c>
      <c r="F47" s="5">
        <f>0</f>
        <v>0</v>
      </c>
      <c r="G47" s="6">
        <f>0</f>
        <v>0</v>
      </c>
      <c r="H47" s="7">
        <f>0</f>
        <v>0</v>
      </c>
      <c r="I47" s="7">
        <f>0</f>
        <v>0</v>
      </c>
      <c r="J47" s="7">
        <f>0</f>
        <v>0</v>
      </c>
      <c r="K47" s="7">
        <f>0</f>
        <v>0</v>
      </c>
      <c r="L47" s="7">
        <f>0</f>
        <v>0</v>
      </c>
      <c r="M47" s="7">
        <f>0</f>
        <v>0</v>
      </c>
      <c r="N47" s="7">
        <f>0</f>
        <v>0</v>
      </c>
      <c r="O47" s="7">
        <f>0</f>
        <v>0</v>
      </c>
      <c r="P47" s="7">
        <f>0</f>
        <v>0</v>
      </c>
      <c r="Q47" s="7">
        <f>0</f>
        <v>0</v>
      </c>
      <c r="R47" s="7">
        <f>0</f>
        <v>0</v>
      </c>
      <c r="S47" s="7">
        <f>0</f>
        <v>0</v>
      </c>
      <c r="T47" s="7">
        <f>0</f>
        <v>0</v>
      </c>
    </row>
    <row r="48" spans="1:20" ht="17.25" customHeight="1">
      <c r="A48" s="123" t="s">
        <v>266</v>
      </c>
      <c r="B48" s="125" t="s">
        <v>267</v>
      </c>
      <c r="C48" s="75">
        <f>0</f>
        <v>0</v>
      </c>
      <c r="D48" s="4">
        <f>0</f>
        <v>0</v>
      </c>
      <c r="E48" s="4">
        <f>0</f>
        <v>0</v>
      </c>
      <c r="F48" s="5">
        <f>0</f>
        <v>0</v>
      </c>
      <c r="G48" s="6">
        <f>0</f>
        <v>0</v>
      </c>
      <c r="H48" s="7">
        <f>0</f>
        <v>0</v>
      </c>
      <c r="I48" s="7">
        <f>0</f>
        <v>0</v>
      </c>
      <c r="J48" s="7">
        <f>0</f>
        <v>0</v>
      </c>
      <c r="K48" s="7">
        <f>0</f>
        <v>0</v>
      </c>
      <c r="L48" s="7">
        <f>0</f>
        <v>0</v>
      </c>
      <c r="M48" s="7">
        <f>0</f>
        <v>0</v>
      </c>
      <c r="N48" s="7">
        <f>0</f>
        <v>0</v>
      </c>
      <c r="O48" s="7">
        <f>0</f>
        <v>0</v>
      </c>
      <c r="P48" s="7">
        <f>0</f>
        <v>0</v>
      </c>
      <c r="Q48" s="7">
        <f>0</f>
        <v>0</v>
      </c>
      <c r="R48" s="7">
        <f>0</f>
        <v>0</v>
      </c>
      <c r="S48" s="7">
        <f>0</f>
        <v>0</v>
      </c>
      <c r="T48" s="7">
        <f>0</f>
        <v>0</v>
      </c>
    </row>
    <row r="49" spans="1:20" ht="43.5" customHeight="1">
      <c r="A49" s="123" t="s">
        <v>358</v>
      </c>
      <c r="B49" s="181" t="s">
        <v>359</v>
      </c>
      <c r="C49" s="75">
        <f>0</f>
        <v>0</v>
      </c>
      <c r="D49" s="4">
        <f>0</f>
        <v>0</v>
      </c>
      <c r="E49" s="4">
        <f>0</f>
        <v>0</v>
      </c>
      <c r="F49" s="5">
        <f>0</f>
        <v>0</v>
      </c>
      <c r="G49" s="6">
        <f>0</f>
        <v>0</v>
      </c>
      <c r="H49" s="7">
        <f>0</f>
        <v>0</v>
      </c>
      <c r="I49" s="7">
        <f>0</f>
        <v>0</v>
      </c>
      <c r="J49" s="7">
        <f>0</f>
        <v>0</v>
      </c>
      <c r="K49" s="7">
        <f>0</f>
        <v>0</v>
      </c>
      <c r="L49" s="7">
        <f>0</f>
        <v>0</v>
      </c>
      <c r="M49" s="7">
        <f>0</f>
        <v>0</v>
      </c>
      <c r="N49" s="7">
        <f>0</f>
        <v>0</v>
      </c>
      <c r="O49" s="7">
        <f>0</f>
        <v>0</v>
      </c>
      <c r="P49" s="7">
        <f>0</f>
        <v>0</v>
      </c>
      <c r="Q49" s="7">
        <f>0</f>
        <v>0</v>
      </c>
      <c r="R49" s="7">
        <f>0</f>
        <v>0</v>
      </c>
      <c r="S49" s="7">
        <f>0</f>
        <v>0</v>
      </c>
      <c r="T49" s="7">
        <f>0</f>
        <v>0</v>
      </c>
    </row>
    <row r="50" spans="1:20" ht="18" customHeight="1">
      <c r="A50" s="123" t="s">
        <v>172</v>
      </c>
      <c r="B50" s="180" t="s">
        <v>268</v>
      </c>
      <c r="C50" s="75">
        <f>0</f>
        <v>0</v>
      </c>
      <c r="D50" s="4">
        <f>0</f>
        <v>0</v>
      </c>
      <c r="E50" s="4">
        <f>0</f>
        <v>0</v>
      </c>
      <c r="F50" s="5">
        <f>0</f>
        <v>0</v>
      </c>
      <c r="G50" s="6">
        <f>0</f>
        <v>0</v>
      </c>
      <c r="H50" s="7">
        <f>0</f>
        <v>0</v>
      </c>
      <c r="I50" s="7">
        <f>0</f>
        <v>0</v>
      </c>
      <c r="J50" s="7">
        <f>0</f>
        <v>0</v>
      </c>
      <c r="K50" s="7">
        <f>0</f>
        <v>0</v>
      </c>
      <c r="L50" s="7">
        <f>0</f>
        <v>0</v>
      </c>
      <c r="M50" s="7">
        <f>0</f>
        <v>0</v>
      </c>
      <c r="N50" s="7">
        <f>0</f>
        <v>0</v>
      </c>
      <c r="O50" s="7">
        <f>0</f>
        <v>0</v>
      </c>
      <c r="P50" s="7">
        <f>0</f>
        <v>0</v>
      </c>
      <c r="Q50" s="7">
        <f>0</f>
        <v>0</v>
      </c>
      <c r="R50" s="7">
        <f>0</f>
        <v>0</v>
      </c>
      <c r="S50" s="7">
        <f>0</f>
        <v>0</v>
      </c>
      <c r="T50" s="7">
        <f>0</f>
        <v>0</v>
      </c>
    </row>
    <row r="51" spans="1:20" ht="18" customHeight="1">
      <c r="A51" s="128" t="s">
        <v>269</v>
      </c>
      <c r="B51" s="127" t="s">
        <v>270</v>
      </c>
      <c r="C51" s="76">
        <f>46392864.69</f>
        <v>46392864.689999998</v>
      </c>
      <c r="D51" s="1">
        <f>50127167.81</f>
        <v>50127167.810000002</v>
      </c>
      <c r="E51" s="1">
        <f>51474136</f>
        <v>51474136</v>
      </c>
      <c r="F51" s="2">
        <f>51474135.93</f>
        <v>51474135.93</v>
      </c>
      <c r="G51" s="140">
        <f>53564762</f>
        <v>53564762</v>
      </c>
      <c r="H51" s="3">
        <f>52548000</f>
        <v>52548000</v>
      </c>
      <c r="I51" s="3">
        <f>50946000</f>
        <v>50946000</v>
      </c>
      <c r="J51" s="3">
        <f>48844000</f>
        <v>48844000</v>
      </c>
      <c r="K51" s="3">
        <f>43732000</f>
        <v>43732000</v>
      </c>
      <c r="L51" s="3">
        <f>38260000</f>
        <v>38260000</v>
      </c>
      <c r="M51" s="3">
        <f>32600000</f>
        <v>32600000</v>
      </c>
      <c r="N51" s="3">
        <f>25740000</f>
        <v>25740000</v>
      </c>
      <c r="O51" s="3">
        <f>18880000</f>
        <v>18880000</v>
      </c>
      <c r="P51" s="3">
        <f>14020000</f>
        <v>14020000</v>
      </c>
      <c r="Q51" s="3">
        <f>8580000</f>
        <v>8580000</v>
      </c>
      <c r="R51" s="3">
        <f>2080000</f>
        <v>2080000</v>
      </c>
      <c r="S51" s="3">
        <f>1540000</f>
        <v>1540000</v>
      </c>
      <c r="T51" s="3">
        <f>0</f>
        <v>0</v>
      </c>
    </row>
    <row r="52" spans="1:20" ht="29.25" customHeight="1">
      <c r="A52" s="123" t="s">
        <v>271</v>
      </c>
      <c r="B52" s="180" t="s">
        <v>272</v>
      </c>
      <c r="C52" s="75">
        <f>2619047.69</f>
        <v>2619047.69</v>
      </c>
      <c r="D52" s="4">
        <f>1964285.81</f>
        <v>1964285.81</v>
      </c>
      <c r="E52" s="4">
        <f>1309524</f>
        <v>1309524</v>
      </c>
      <c r="F52" s="5">
        <f>1309524</f>
        <v>1309524</v>
      </c>
      <c r="G52" s="6">
        <f>654762</f>
        <v>654762</v>
      </c>
      <c r="H52" s="7">
        <f>0</f>
        <v>0</v>
      </c>
      <c r="I52" s="7">
        <f>0</f>
        <v>0</v>
      </c>
      <c r="J52" s="7">
        <f>0</f>
        <v>0</v>
      </c>
      <c r="K52" s="7">
        <f>0</f>
        <v>0</v>
      </c>
      <c r="L52" s="7">
        <f>0</f>
        <v>0</v>
      </c>
      <c r="M52" s="7">
        <f>0</f>
        <v>0</v>
      </c>
      <c r="N52" s="7">
        <f>0</f>
        <v>0</v>
      </c>
      <c r="O52" s="7">
        <f>0</f>
        <v>0</v>
      </c>
      <c r="P52" s="7">
        <f>0</f>
        <v>0</v>
      </c>
      <c r="Q52" s="7">
        <f>0</f>
        <v>0</v>
      </c>
      <c r="R52" s="7">
        <f>0</f>
        <v>0</v>
      </c>
      <c r="S52" s="7">
        <f>0</f>
        <v>0</v>
      </c>
      <c r="T52" s="7">
        <f>0</f>
        <v>0</v>
      </c>
    </row>
    <row r="53" spans="1:20" ht="29.25" customHeight="1">
      <c r="A53" s="126">
        <v>7</v>
      </c>
      <c r="B53" s="127" t="s">
        <v>173</v>
      </c>
      <c r="C53" s="77" t="s">
        <v>174</v>
      </c>
      <c r="D53" s="8" t="s">
        <v>174</v>
      </c>
      <c r="E53" s="8" t="s">
        <v>174</v>
      </c>
      <c r="F53" s="9" t="s">
        <v>174</v>
      </c>
      <c r="G53" s="10" t="s">
        <v>174</v>
      </c>
      <c r="H53" s="11" t="s">
        <v>174</v>
      </c>
      <c r="I53" s="11" t="s">
        <v>174</v>
      </c>
      <c r="J53" s="11" t="s">
        <v>174</v>
      </c>
      <c r="K53" s="11" t="s">
        <v>174</v>
      </c>
      <c r="L53" s="11" t="s">
        <v>174</v>
      </c>
      <c r="M53" s="11" t="s">
        <v>174</v>
      </c>
      <c r="N53" s="11" t="s">
        <v>174</v>
      </c>
      <c r="O53" s="11" t="s">
        <v>174</v>
      </c>
      <c r="P53" s="11" t="s">
        <v>174</v>
      </c>
      <c r="Q53" s="11" t="s">
        <v>174</v>
      </c>
      <c r="R53" s="11" t="s">
        <v>174</v>
      </c>
      <c r="S53" s="11" t="s">
        <v>174</v>
      </c>
      <c r="T53" s="11" t="s">
        <v>174</v>
      </c>
    </row>
    <row r="54" spans="1:20" ht="34.5" customHeight="1">
      <c r="A54" s="129" t="s">
        <v>273</v>
      </c>
      <c r="B54" s="182" t="s">
        <v>274</v>
      </c>
      <c r="C54" s="75">
        <f>11835222.31</f>
        <v>11835222.310000001</v>
      </c>
      <c r="D54" s="4">
        <f>12233922.28</f>
        <v>12233922.279999999</v>
      </c>
      <c r="E54" s="4">
        <f>5790592</f>
        <v>5790592</v>
      </c>
      <c r="F54" s="5">
        <f>13758395.25</f>
        <v>13758395.25</v>
      </c>
      <c r="G54" s="6">
        <f>4013397</f>
        <v>4013397</v>
      </c>
      <c r="H54" s="7">
        <f>7577736</f>
        <v>7577736</v>
      </c>
      <c r="I54" s="7">
        <f>9316393</f>
        <v>9316393</v>
      </c>
      <c r="J54" s="7">
        <f>10721524</f>
        <v>10721524</v>
      </c>
      <c r="K54" s="7">
        <f>14631912</f>
        <v>14631912</v>
      </c>
      <c r="L54" s="7">
        <f>15358344</f>
        <v>15358344</v>
      </c>
      <c r="M54" s="7">
        <f>16556675</f>
        <v>16556675</v>
      </c>
      <c r="N54" s="7">
        <f>17939288</f>
        <v>17939288</v>
      </c>
      <c r="O54" s="7">
        <f>19137046</f>
        <v>19137046</v>
      </c>
      <c r="P54" s="7">
        <f>20189665</f>
        <v>20189665</v>
      </c>
      <c r="Q54" s="7">
        <f>21278603</f>
        <v>21278603</v>
      </c>
      <c r="R54" s="7">
        <f>23186081</f>
        <v>23186081</v>
      </c>
      <c r="S54" s="7">
        <f>23765732</f>
        <v>23765732</v>
      </c>
      <c r="T54" s="7">
        <f>24148623</f>
        <v>24148623</v>
      </c>
    </row>
    <row r="55" spans="1:20" ht="41.25" customHeight="1">
      <c r="A55" s="123" t="s">
        <v>275</v>
      </c>
      <c r="B55" s="180" t="s">
        <v>342</v>
      </c>
      <c r="C55" s="75">
        <f>16301831.23</f>
        <v>16301831.23</v>
      </c>
      <c r="D55" s="4">
        <f>18724087.64</f>
        <v>18724087.640000001</v>
      </c>
      <c r="E55" s="4">
        <f>9003453</f>
        <v>9003453</v>
      </c>
      <c r="F55" s="5">
        <f>18675952.97</f>
        <v>18675952.969999999</v>
      </c>
      <c r="G55" s="6">
        <f>12880693</f>
        <v>12880693</v>
      </c>
      <c r="H55" s="7">
        <f>7577736</f>
        <v>7577736</v>
      </c>
      <c r="I55" s="7">
        <f>9316393</f>
        <v>9316393</v>
      </c>
      <c r="J55" s="7">
        <f>10721524</f>
        <v>10721524</v>
      </c>
      <c r="K55" s="7">
        <f>14631912</f>
        <v>14631912</v>
      </c>
      <c r="L55" s="7">
        <f>15358344</f>
        <v>15358344</v>
      </c>
      <c r="M55" s="7">
        <f>16556675</f>
        <v>16556675</v>
      </c>
      <c r="N55" s="7">
        <f>17939288</f>
        <v>17939288</v>
      </c>
      <c r="O55" s="7">
        <f>19137046</f>
        <v>19137046</v>
      </c>
      <c r="P55" s="7">
        <f>20189665</f>
        <v>20189665</v>
      </c>
      <c r="Q55" s="7">
        <f>21278603</f>
        <v>21278603</v>
      </c>
      <c r="R55" s="7">
        <f>23186081</f>
        <v>23186081</v>
      </c>
      <c r="S55" s="7">
        <f>23765732</f>
        <v>23765732</v>
      </c>
      <c r="T55" s="7">
        <f>24148623</f>
        <v>24148623</v>
      </c>
    </row>
    <row r="56" spans="1:20" ht="18.75" customHeight="1">
      <c r="A56" s="126">
        <v>8</v>
      </c>
      <c r="B56" s="127" t="s">
        <v>177</v>
      </c>
      <c r="C56" s="77" t="s">
        <v>174</v>
      </c>
      <c r="D56" s="8" t="s">
        <v>174</v>
      </c>
      <c r="E56" s="8" t="s">
        <v>174</v>
      </c>
      <c r="F56" s="9" t="s">
        <v>174</v>
      </c>
      <c r="G56" s="10" t="s">
        <v>174</v>
      </c>
      <c r="H56" s="11" t="s">
        <v>174</v>
      </c>
      <c r="I56" s="11" t="s">
        <v>174</v>
      </c>
      <c r="J56" s="11" t="s">
        <v>174</v>
      </c>
      <c r="K56" s="11" t="s">
        <v>174</v>
      </c>
      <c r="L56" s="11" t="s">
        <v>174</v>
      </c>
      <c r="M56" s="11" t="s">
        <v>174</v>
      </c>
      <c r="N56" s="11" t="s">
        <v>174</v>
      </c>
      <c r="O56" s="11" t="s">
        <v>174</v>
      </c>
      <c r="P56" s="11" t="s">
        <v>174</v>
      </c>
      <c r="Q56" s="11" t="s">
        <v>174</v>
      </c>
      <c r="R56" s="11" t="s">
        <v>174</v>
      </c>
      <c r="S56" s="11" t="s">
        <v>174</v>
      </c>
      <c r="T56" s="11" t="s">
        <v>174</v>
      </c>
    </row>
    <row r="57" spans="1:20" ht="89.25" customHeight="1">
      <c r="A57" s="123" t="s">
        <v>175</v>
      </c>
      <c r="B57" s="180" t="s">
        <v>276</v>
      </c>
      <c r="C57" s="77" t="s">
        <v>174</v>
      </c>
      <c r="D57" s="8" t="s">
        <v>174</v>
      </c>
      <c r="E57" s="8" t="s">
        <v>174</v>
      </c>
      <c r="F57" s="9" t="s">
        <v>174</v>
      </c>
      <c r="G57" s="141">
        <f>0.0728</f>
        <v>7.2800000000000004E-2</v>
      </c>
      <c r="H57" s="78">
        <f>0.0657</f>
        <v>6.5699999999999995E-2</v>
      </c>
      <c r="I57" s="78">
        <f>0.0649</f>
        <v>6.4899999999999999E-2</v>
      </c>
      <c r="J57" s="78">
        <f>0.0623</f>
        <v>6.2300000000000001E-2</v>
      </c>
      <c r="K57" s="78">
        <f>0.0448</f>
        <v>4.48E-2</v>
      </c>
      <c r="L57" s="78">
        <f>0.0493</f>
        <v>4.9299999999999997E-2</v>
      </c>
      <c r="M57" s="78">
        <f>0.0492</f>
        <v>4.9200000000000001E-2</v>
      </c>
      <c r="N57" s="78">
        <f>0.0538</f>
        <v>5.3800000000000001E-2</v>
      </c>
      <c r="O57" s="78">
        <f>0.0514</f>
        <v>5.1400000000000001E-2</v>
      </c>
      <c r="P57" s="78">
        <f>0.0372</f>
        <v>3.7199999999999997E-2</v>
      </c>
      <c r="Q57" s="78">
        <f>0.0383</f>
        <v>3.8300000000000001E-2</v>
      </c>
      <c r="R57" s="78">
        <f>0.0367</f>
        <v>3.6700000000000003E-2</v>
      </c>
      <c r="S57" s="78">
        <f>0.0034</f>
        <v>3.3999999999999998E-3</v>
      </c>
      <c r="T57" s="78">
        <f>0.0083</f>
        <v>8.3000000000000001E-3</v>
      </c>
    </row>
    <row r="58" spans="1:20" ht="18" customHeight="1">
      <c r="A58" s="123" t="s">
        <v>277</v>
      </c>
      <c r="B58" s="124" t="s">
        <v>277</v>
      </c>
      <c r="C58" s="77" t="s">
        <v>174</v>
      </c>
      <c r="D58" s="8" t="s">
        <v>174</v>
      </c>
      <c r="E58" s="8" t="s">
        <v>174</v>
      </c>
      <c r="F58" s="9" t="s">
        <v>174</v>
      </c>
      <c r="G58" s="141">
        <f>0.0728</f>
        <v>7.2800000000000004E-2</v>
      </c>
      <c r="H58" s="78">
        <f>0.0657</f>
        <v>6.5699999999999995E-2</v>
      </c>
      <c r="I58" s="78">
        <f>0.0649</f>
        <v>6.4899999999999999E-2</v>
      </c>
      <c r="J58" s="78">
        <f>0.0623</f>
        <v>6.2300000000000001E-2</v>
      </c>
      <c r="K58" s="78">
        <f>0.0448</f>
        <v>4.48E-2</v>
      </c>
      <c r="L58" s="78">
        <f>0.0493</f>
        <v>4.9299999999999997E-2</v>
      </c>
      <c r="M58" s="78">
        <f>0.0492</f>
        <v>4.9200000000000001E-2</v>
      </c>
      <c r="N58" s="78">
        <f>0.0538</f>
        <v>5.3800000000000001E-2</v>
      </c>
      <c r="O58" s="78">
        <f>0.0514</f>
        <v>5.1400000000000001E-2</v>
      </c>
      <c r="P58" s="78">
        <f>0.0372</f>
        <v>3.7199999999999997E-2</v>
      </c>
      <c r="Q58" s="78">
        <f>0.0383</f>
        <v>3.8300000000000001E-2</v>
      </c>
      <c r="R58" s="78">
        <f>0.0367</f>
        <v>3.6700000000000003E-2</v>
      </c>
      <c r="S58" s="78">
        <f>0.0034</f>
        <v>3.3999999999999998E-3</v>
      </c>
      <c r="T58" s="78">
        <f>0.0083</f>
        <v>8.3000000000000001E-3</v>
      </c>
    </row>
    <row r="59" spans="1:20" ht="18" customHeight="1">
      <c r="A59" s="123" t="s">
        <v>278</v>
      </c>
      <c r="B59" s="124" t="s">
        <v>278</v>
      </c>
      <c r="C59" s="77" t="s">
        <v>174</v>
      </c>
      <c r="D59" s="8" t="s">
        <v>174</v>
      </c>
      <c r="E59" s="8" t="s">
        <v>174</v>
      </c>
      <c r="F59" s="9" t="s">
        <v>174</v>
      </c>
      <c r="G59" s="141">
        <f>0.0728</f>
        <v>7.2800000000000004E-2</v>
      </c>
      <c r="H59" s="78">
        <f>0.0657</f>
        <v>6.5699999999999995E-2</v>
      </c>
      <c r="I59" s="78">
        <f>0.0649</f>
        <v>6.4899999999999999E-2</v>
      </c>
      <c r="J59" s="78">
        <f>0.0623</f>
        <v>6.2300000000000001E-2</v>
      </c>
      <c r="K59" s="78">
        <f>0.0448</f>
        <v>4.48E-2</v>
      </c>
      <c r="L59" s="78">
        <f>0.0493</f>
        <v>4.9299999999999997E-2</v>
      </c>
      <c r="M59" s="78">
        <f>0.0492</f>
        <v>4.9200000000000001E-2</v>
      </c>
      <c r="N59" s="78">
        <f>0.0538</f>
        <v>5.3800000000000001E-2</v>
      </c>
      <c r="O59" s="78">
        <f>0.0514</f>
        <v>5.1400000000000001E-2</v>
      </c>
      <c r="P59" s="78">
        <f>0.0372</f>
        <v>3.7199999999999997E-2</v>
      </c>
      <c r="Q59" s="78">
        <f>0.0383</f>
        <v>3.8300000000000001E-2</v>
      </c>
      <c r="R59" s="78">
        <f>0.0367</f>
        <v>3.6700000000000003E-2</v>
      </c>
      <c r="S59" s="78">
        <f>0.0034</f>
        <v>3.3999999999999998E-3</v>
      </c>
      <c r="T59" s="78">
        <f>0.0083</f>
        <v>8.3000000000000001E-3</v>
      </c>
    </row>
    <row r="60" spans="1:20" ht="58.5" customHeight="1">
      <c r="A60" s="123" t="s">
        <v>176</v>
      </c>
      <c r="B60" s="180" t="s">
        <v>343</v>
      </c>
      <c r="C60" s="79">
        <f>0.1307</f>
        <v>0.13070000000000001</v>
      </c>
      <c r="D60" s="80">
        <f>0.1208</f>
        <v>0.1208</v>
      </c>
      <c r="E60" s="80">
        <f>0.0616</f>
        <v>6.1600000000000002E-2</v>
      </c>
      <c r="F60" s="81">
        <f>0.1151</f>
        <v>0.11509999999999999</v>
      </c>
      <c r="G60" s="141">
        <f>0.054</f>
        <v>5.3999999999999999E-2</v>
      </c>
      <c r="H60" s="78">
        <f>0.0663</f>
        <v>6.6299999999999998E-2</v>
      </c>
      <c r="I60" s="78">
        <f>0.0762</f>
        <v>7.6200000000000004E-2</v>
      </c>
      <c r="J60" s="78">
        <f>0.0836</f>
        <v>8.3599999999999994E-2</v>
      </c>
      <c r="K60" s="78">
        <f>0.1067</f>
        <v>0.1067</v>
      </c>
      <c r="L60" s="78">
        <f>0.1077</f>
        <v>0.1077</v>
      </c>
      <c r="M60" s="78">
        <f>0.1108</f>
        <v>0.1108</v>
      </c>
      <c r="N60" s="78">
        <f>0.115</f>
        <v>0.115</v>
      </c>
      <c r="O60" s="78">
        <f>0.1182</f>
        <v>0.1182</v>
      </c>
      <c r="P60" s="78">
        <f>0.1202</f>
        <v>0.1202</v>
      </c>
      <c r="Q60" s="78">
        <f>0.1222</f>
        <v>0.1222</v>
      </c>
      <c r="R60" s="78">
        <f>0.1288</f>
        <v>0.1288</v>
      </c>
      <c r="S60" s="78">
        <f>0.1284</f>
        <v>0.12839999999999999</v>
      </c>
      <c r="T60" s="78">
        <f>0.1271</f>
        <v>0.12709999999999999</v>
      </c>
    </row>
    <row r="61" spans="1:20" ht="18" customHeight="1">
      <c r="A61" s="123" t="s">
        <v>279</v>
      </c>
      <c r="B61" s="124" t="s">
        <v>279</v>
      </c>
      <c r="C61" s="79">
        <f>0.1794</f>
        <v>0.1794</v>
      </c>
      <c r="D61" s="80">
        <f>0.1293</f>
        <v>0.1293</v>
      </c>
      <c r="E61" s="80">
        <f>0.1013</f>
        <v>0.1013</v>
      </c>
      <c r="F61" s="81">
        <f>0.1442</f>
        <v>0.14419999999999999</v>
      </c>
      <c r="G61" s="141">
        <f>0.0877</f>
        <v>8.77E-2</v>
      </c>
      <c r="H61" s="78">
        <f>0.083</f>
        <v>8.3000000000000004E-2</v>
      </c>
      <c r="I61" s="78">
        <f>0.0848</f>
        <v>8.48E-2</v>
      </c>
      <c r="J61" s="78">
        <f>0.0844</f>
        <v>8.4400000000000003E-2</v>
      </c>
      <c r="K61" s="78">
        <f>0.107</f>
        <v>0.107</v>
      </c>
      <c r="L61" s="78">
        <f>0</f>
        <v>0</v>
      </c>
      <c r="M61" s="78">
        <f>0</f>
        <v>0</v>
      </c>
      <c r="N61" s="78">
        <f>0</f>
        <v>0</v>
      </c>
      <c r="O61" s="78">
        <f>0</f>
        <v>0</v>
      </c>
      <c r="P61" s="78">
        <f>0</f>
        <v>0</v>
      </c>
      <c r="Q61" s="78">
        <f>0</f>
        <v>0</v>
      </c>
      <c r="R61" s="78">
        <f>0</f>
        <v>0</v>
      </c>
      <c r="S61" s="78">
        <f>0</f>
        <v>0</v>
      </c>
      <c r="T61" s="78">
        <f>0</f>
        <v>0</v>
      </c>
    </row>
    <row r="62" spans="1:20" ht="18" customHeight="1">
      <c r="A62" s="123" t="s">
        <v>280</v>
      </c>
      <c r="B62" s="124" t="s">
        <v>280</v>
      </c>
      <c r="C62" s="79">
        <f>0.1307</f>
        <v>0.13070000000000001</v>
      </c>
      <c r="D62" s="80">
        <f>0.1208</f>
        <v>0.1208</v>
      </c>
      <c r="E62" s="80">
        <f>0.0616</f>
        <v>6.1600000000000002E-2</v>
      </c>
      <c r="F62" s="81">
        <f>0.1151</f>
        <v>0.11509999999999999</v>
      </c>
      <c r="G62" s="141">
        <f>0.054</f>
        <v>5.3999999999999999E-2</v>
      </c>
      <c r="H62" s="78">
        <f>0.0663</f>
        <v>6.6299999999999998E-2</v>
      </c>
      <c r="I62" s="78">
        <f>0.0762</f>
        <v>7.6200000000000004E-2</v>
      </c>
      <c r="J62" s="78">
        <f>0.0836</f>
        <v>8.3599999999999994E-2</v>
      </c>
      <c r="K62" s="78">
        <f>0.1067</f>
        <v>0.1067</v>
      </c>
      <c r="L62" s="78">
        <f>0.1077</f>
        <v>0.1077</v>
      </c>
      <c r="M62" s="78">
        <f>0.1108</f>
        <v>0.1108</v>
      </c>
      <c r="N62" s="78">
        <f>0.115</f>
        <v>0.115</v>
      </c>
      <c r="O62" s="78">
        <f>0.1182</f>
        <v>0.1182</v>
      </c>
      <c r="P62" s="78">
        <f>0.1202</f>
        <v>0.1202</v>
      </c>
      <c r="Q62" s="78">
        <f>0.1222</f>
        <v>0.1222</v>
      </c>
      <c r="R62" s="78">
        <f>0.1288</f>
        <v>0.1288</v>
      </c>
      <c r="S62" s="78">
        <f>0.1284</f>
        <v>0.12839999999999999</v>
      </c>
      <c r="T62" s="78">
        <f>0.1271</f>
        <v>0.12709999999999999</v>
      </c>
    </row>
    <row r="63" spans="1:20" ht="106.5" customHeight="1">
      <c r="A63" s="123" t="s">
        <v>281</v>
      </c>
      <c r="B63" s="180" t="s">
        <v>282</v>
      </c>
      <c r="C63" s="77" t="s">
        <v>174</v>
      </c>
      <c r="D63" s="8" t="s">
        <v>174</v>
      </c>
      <c r="E63" s="8" t="s">
        <v>174</v>
      </c>
      <c r="F63" s="9" t="s">
        <v>174</v>
      </c>
      <c r="G63" s="141">
        <f>0.1367</f>
        <v>0.13669999999999999</v>
      </c>
      <c r="H63" s="78">
        <f>0.1061</f>
        <v>0.1061</v>
      </c>
      <c r="I63" s="78">
        <f>0.0907</f>
        <v>9.0700000000000003E-2</v>
      </c>
      <c r="J63" s="78">
        <f>0.0852</f>
        <v>8.5199999999999998E-2</v>
      </c>
      <c r="K63" s="78">
        <f>0.0841</f>
        <v>8.4099999999999994E-2</v>
      </c>
      <c r="L63" s="78">
        <f>0.0921</f>
        <v>9.2100000000000001E-2</v>
      </c>
      <c r="M63" s="78">
        <f>0.0794</f>
        <v>7.9399999999999998E-2</v>
      </c>
      <c r="N63" s="78">
        <f>0.0865</f>
        <v>8.6499999999999994E-2</v>
      </c>
      <c r="O63" s="78">
        <f>0.0952</f>
        <v>9.5200000000000007E-2</v>
      </c>
      <c r="P63" s="78">
        <f>0.1026</f>
        <v>0.1026</v>
      </c>
      <c r="Q63" s="78">
        <f>0.1089</f>
        <v>0.1089</v>
      </c>
      <c r="R63" s="78">
        <f>0.1144</f>
        <v>0.1144</v>
      </c>
      <c r="S63" s="78">
        <f>0.1176</f>
        <v>0.1176</v>
      </c>
      <c r="T63" s="78">
        <f>0.1205</f>
        <v>0.1205</v>
      </c>
    </row>
    <row r="64" spans="1:20" ht="106.5" customHeight="1">
      <c r="A64" s="123" t="s">
        <v>283</v>
      </c>
      <c r="B64" s="124" t="s">
        <v>284</v>
      </c>
      <c r="C64" s="77" t="s">
        <v>174</v>
      </c>
      <c r="D64" s="8" t="s">
        <v>174</v>
      </c>
      <c r="E64" s="8" t="s">
        <v>174</v>
      </c>
      <c r="F64" s="9" t="s">
        <v>174</v>
      </c>
      <c r="G64" s="141">
        <f>0.151</f>
        <v>0.151</v>
      </c>
      <c r="H64" s="78">
        <f>0.1204</f>
        <v>0.12039999999999999</v>
      </c>
      <c r="I64" s="78">
        <f>0.105</f>
        <v>0.105</v>
      </c>
      <c r="J64" s="78">
        <f>0.0852</f>
        <v>8.5199999999999998E-2</v>
      </c>
      <c r="K64" s="78">
        <f>0.0841</f>
        <v>8.4099999999999994E-2</v>
      </c>
      <c r="L64" s="78">
        <f>0.0921</f>
        <v>9.2100000000000001E-2</v>
      </c>
      <c r="M64" s="78">
        <f>0.0871</f>
        <v>8.7099999999999997E-2</v>
      </c>
      <c r="N64" s="78">
        <f>0.0865</f>
        <v>8.6499999999999994E-2</v>
      </c>
      <c r="O64" s="78">
        <f>0.0952</f>
        <v>9.5200000000000007E-2</v>
      </c>
      <c r="P64" s="78">
        <f>0.1026</f>
        <v>0.1026</v>
      </c>
      <c r="Q64" s="78">
        <f>0.1089</f>
        <v>0.1089</v>
      </c>
      <c r="R64" s="78">
        <f>0.1144</f>
        <v>0.1144</v>
      </c>
      <c r="S64" s="78">
        <f>0.1176</f>
        <v>0.1176</v>
      </c>
      <c r="T64" s="78">
        <f>0.1205</f>
        <v>0.1205</v>
      </c>
    </row>
    <row r="65" spans="1:20" ht="106.5" customHeight="1">
      <c r="A65" s="123" t="s">
        <v>285</v>
      </c>
      <c r="B65" s="180" t="s">
        <v>183</v>
      </c>
      <c r="C65" s="77" t="s">
        <v>174</v>
      </c>
      <c r="D65" s="8" t="s">
        <v>174</v>
      </c>
      <c r="E65" s="8" t="s">
        <v>174</v>
      </c>
      <c r="F65" s="9" t="s">
        <v>174</v>
      </c>
      <c r="G65" s="142" t="str">
        <f t="shared" ref="G65:T65" si="3">IF(G$57&lt;=G$63,"Spełniona","Nie spełniona")</f>
        <v>Spełniona</v>
      </c>
      <c r="H65" s="82" t="str">
        <f t="shared" si="3"/>
        <v>Spełniona</v>
      </c>
      <c r="I65" s="82" t="str">
        <f t="shared" si="3"/>
        <v>Spełniona</v>
      </c>
      <c r="J65" s="82" t="str">
        <f t="shared" si="3"/>
        <v>Spełniona</v>
      </c>
      <c r="K65" s="82" t="str">
        <f t="shared" si="3"/>
        <v>Spełniona</v>
      </c>
      <c r="L65" s="82" t="str">
        <f t="shared" si="3"/>
        <v>Spełniona</v>
      </c>
      <c r="M65" s="82" t="str">
        <f t="shared" si="3"/>
        <v>Spełniona</v>
      </c>
      <c r="N65" s="82" t="str">
        <f t="shared" si="3"/>
        <v>Spełniona</v>
      </c>
      <c r="O65" s="82" t="str">
        <f t="shared" si="3"/>
        <v>Spełniona</v>
      </c>
      <c r="P65" s="82" t="str">
        <f t="shared" si="3"/>
        <v>Spełniona</v>
      </c>
      <c r="Q65" s="82" t="str">
        <f t="shared" si="3"/>
        <v>Spełniona</v>
      </c>
      <c r="R65" s="82" t="str">
        <f t="shared" si="3"/>
        <v>Spełniona</v>
      </c>
      <c r="S65" s="82" t="str">
        <f t="shared" si="3"/>
        <v>Spełniona</v>
      </c>
      <c r="T65" s="82" t="str">
        <f t="shared" si="3"/>
        <v>Spełniona</v>
      </c>
    </row>
    <row r="66" spans="1:20" ht="103.5" customHeight="1">
      <c r="A66" s="123" t="s">
        <v>286</v>
      </c>
      <c r="B66" s="124" t="s">
        <v>184</v>
      </c>
      <c r="C66" s="77" t="s">
        <v>174</v>
      </c>
      <c r="D66" s="8" t="s">
        <v>174</v>
      </c>
      <c r="E66" s="8" t="s">
        <v>174</v>
      </c>
      <c r="F66" s="9" t="s">
        <v>174</v>
      </c>
      <c r="G66" s="142" t="str">
        <f t="shared" ref="G66:T66" si="4">IF(G$57&lt;=G$64,"Spełniona","Nie spełniona")</f>
        <v>Spełniona</v>
      </c>
      <c r="H66" s="82" t="str">
        <f t="shared" si="4"/>
        <v>Spełniona</v>
      </c>
      <c r="I66" s="82" t="str">
        <f t="shared" si="4"/>
        <v>Spełniona</v>
      </c>
      <c r="J66" s="82" t="str">
        <f t="shared" si="4"/>
        <v>Spełniona</v>
      </c>
      <c r="K66" s="82" t="str">
        <f t="shared" si="4"/>
        <v>Spełniona</v>
      </c>
      <c r="L66" s="82" t="str">
        <f t="shared" si="4"/>
        <v>Spełniona</v>
      </c>
      <c r="M66" s="82" t="str">
        <f t="shared" si="4"/>
        <v>Spełniona</v>
      </c>
      <c r="N66" s="82" t="str">
        <f t="shared" si="4"/>
        <v>Spełniona</v>
      </c>
      <c r="O66" s="82" t="str">
        <f t="shared" si="4"/>
        <v>Spełniona</v>
      </c>
      <c r="P66" s="82" t="str">
        <f t="shared" si="4"/>
        <v>Spełniona</v>
      </c>
      <c r="Q66" s="82" t="str">
        <f t="shared" si="4"/>
        <v>Spełniona</v>
      </c>
      <c r="R66" s="82" t="str">
        <f t="shared" si="4"/>
        <v>Spełniona</v>
      </c>
      <c r="S66" s="82" t="str">
        <f t="shared" si="4"/>
        <v>Spełniona</v>
      </c>
      <c r="T66" s="82" t="str">
        <f t="shared" si="4"/>
        <v>Spełniona</v>
      </c>
    </row>
    <row r="67" spans="1:20" ht="18" customHeight="1">
      <c r="A67" s="123" t="s">
        <v>360</v>
      </c>
      <c r="B67" s="180" t="s">
        <v>361</v>
      </c>
      <c r="C67" s="77" t="s">
        <v>174</v>
      </c>
      <c r="D67" s="8" t="s">
        <v>174</v>
      </c>
      <c r="E67" s="8" t="s">
        <v>174</v>
      </c>
      <c r="F67" s="9" t="s">
        <v>174</v>
      </c>
      <c r="G67" s="141">
        <f>0.3361</f>
        <v>0.33610000000000001</v>
      </c>
      <c r="H67" s="78">
        <f>0.3253</f>
        <v>0.32529999999999998</v>
      </c>
      <c r="I67" s="78">
        <f>0.3074</f>
        <v>0.30740000000000001</v>
      </c>
      <c r="J67" s="78">
        <f>0.2892</f>
        <v>0.28920000000000001</v>
      </c>
      <c r="K67" s="78">
        <f>0.2544</f>
        <v>0.25440000000000002</v>
      </c>
      <c r="L67" s="78">
        <f>0.2182</f>
        <v>0.21820000000000001</v>
      </c>
      <c r="M67" s="78">
        <f>0.1803</f>
        <v>0.18029999999999999</v>
      </c>
      <c r="N67" s="78">
        <f>0.1386</f>
        <v>0.1386</v>
      </c>
      <c r="O67" s="78">
        <f>0.0989</f>
        <v>9.8900000000000002E-2</v>
      </c>
      <c r="P67" s="78">
        <f>0.0715</f>
        <v>7.1499999999999994E-2</v>
      </c>
      <c r="Q67" s="78">
        <f>0.0426</f>
        <v>4.2599999999999999E-2</v>
      </c>
      <c r="R67" s="78">
        <f>0.0101</f>
        <v>1.01E-2</v>
      </c>
      <c r="S67" s="78">
        <f>0.0073</f>
        <v>7.3000000000000001E-3</v>
      </c>
      <c r="T67" s="78">
        <f>0</f>
        <v>0</v>
      </c>
    </row>
    <row r="68" spans="1:20" ht="99" customHeight="1">
      <c r="A68" s="123" t="s">
        <v>362</v>
      </c>
      <c r="B68" s="180" t="s">
        <v>363</v>
      </c>
      <c r="C68" s="77" t="s">
        <v>174</v>
      </c>
      <c r="D68" s="8" t="s">
        <v>174</v>
      </c>
      <c r="E68" s="8" t="s">
        <v>174</v>
      </c>
      <c r="F68" s="9" t="s">
        <v>174</v>
      </c>
      <c r="G68" s="141">
        <f>0.0728</f>
        <v>7.2800000000000004E-2</v>
      </c>
      <c r="H68" s="78">
        <f>0.0657</f>
        <v>6.5699999999999995E-2</v>
      </c>
      <c r="I68" s="78">
        <f>0.0649</f>
        <v>6.4899999999999999E-2</v>
      </c>
      <c r="J68" s="78">
        <f>0.0623</f>
        <v>6.2300000000000001E-2</v>
      </c>
      <c r="K68" s="78">
        <f>0.0448</f>
        <v>4.48E-2</v>
      </c>
      <c r="L68" s="78">
        <f>0.0493</f>
        <v>4.9299999999999997E-2</v>
      </c>
      <c r="M68" s="78">
        <f>0.0492</f>
        <v>4.9200000000000001E-2</v>
      </c>
      <c r="N68" s="78">
        <f>0.0538</f>
        <v>5.3800000000000001E-2</v>
      </c>
      <c r="O68" s="78">
        <f>0.0514</f>
        <v>5.1400000000000001E-2</v>
      </c>
      <c r="P68" s="78">
        <f>0.0372</f>
        <v>3.7199999999999997E-2</v>
      </c>
      <c r="Q68" s="78">
        <f>0.0383</f>
        <v>3.8300000000000001E-2</v>
      </c>
      <c r="R68" s="78">
        <f>0.0367</f>
        <v>3.6700000000000003E-2</v>
      </c>
      <c r="S68" s="78">
        <f>0.0034</f>
        <v>3.3999999999999998E-3</v>
      </c>
      <c r="T68" s="78">
        <f>0.0083</f>
        <v>8.3000000000000001E-3</v>
      </c>
    </row>
    <row r="69" spans="1:20" ht="108" customHeight="1">
      <c r="A69" s="123" t="s">
        <v>364</v>
      </c>
      <c r="B69" s="180" t="s">
        <v>365</v>
      </c>
      <c r="C69" s="77" t="s">
        <v>174</v>
      </c>
      <c r="D69" s="8" t="s">
        <v>174</v>
      </c>
      <c r="E69" s="8" t="s">
        <v>174</v>
      </c>
      <c r="F69" s="9" t="s">
        <v>174</v>
      </c>
      <c r="G69" s="142" t="str">
        <f t="shared" ref="G69:T69" si="5">IF(G$68&lt;=G$63,"Spełniona","Nie spełniona")</f>
        <v>Spełniona</v>
      </c>
      <c r="H69" s="82" t="str">
        <f t="shared" si="5"/>
        <v>Spełniona</v>
      </c>
      <c r="I69" s="82" t="str">
        <f t="shared" si="5"/>
        <v>Spełniona</v>
      </c>
      <c r="J69" s="82" t="str">
        <f t="shared" si="5"/>
        <v>Spełniona</v>
      </c>
      <c r="K69" s="82" t="str">
        <f t="shared" si="5"/>
        <v>Spełniona</v>
      </c>
      <c r="L69" s="82" t="str">
        <f t="shared" si="5"/>
        <v>Spełniona</v>
      </c>
      <c r="M69" s="82" t="str">
        <f t="shared" si="5"/>
        <v>Spełniona</v>
      </c>
      <c r="N69" s="82" t="str">
        <f t="shared" si="5"/>
        <v>Spełniona</v>
      </c>
      <c r="O69" s="82" t="str">
        <f t="shared" si="5"/>
        <v>Spełniona</v>
      </c>
      <c r="P69" s="82" t="str">
        <f t="shared" si="5"/>
        <v>Spełniona</v>
      </c>
      <c r="Q69" s="82" t="str">
        <f t="shared" si="5"/>
        <v>Spełniona</v>
      </c>
      <c r="R69" s="82" t="str">
        <f t="shared" si="5"/>
        <v>Spełniona</v>
      </c>
      <c r="S69" s="82" t="str">
        <f t="shared" si="5"/>
        <v>Spełniona</v>
      </c>
      <c r="T69" s="82" t="str">
        <f t="shared" si="5"/>
        <v>Spełniona</v>
      </c>
    </row>
    <row r="70" spans="1:20" ht="106.5" customHeight="1">
      <c r="A70" s="123" t="s">
        <v>366</v>
      </c>
      <c r="B70" s="124" t="s">
        <v>367</v>
      </c>
      <c r="C70" s="77" t="s">
        <v>174</v>
      </c>
      <c r="D70" s="8" t="s">
        <v>174</v>
      </c>
      <c r="E70" s="8" t="s">
        <v>174</v>
      </c>
      <c r="F70" s="9" t="s">
        <v>174</v>
      </c>
      <c r="G70" s="142" t="str">
        <f t="shared" ref="G70:T70" si="6">IF(G$68&lt;=G$64,"Spełniona","Nie spełniona")</f>
        <v>Spełniona</v>
      </c>
      <c r="H70" s="82" t="str">
        <f t="shared" si="6"/>
        <v>Spełniona</v>
      </c>
      <c r="I70" s="82" t="str">
        <f t="shared" si="6"/>
        <v>Spełniona</v>
      </c>
      <c r="J70" s="82" t="str">
        <f t="shared" si="6"/>
        <v>Spełniona</v>
      </c>
      <c r="K70" s="82" t="str">
        <f t="shared" si="6"/>
        <v>Spełniona</v>
      </c>
      <c r="L70" s="82" t="str">
        <f t="shared" si="6"/>
        <v>Spełniona</v>
      </c>
      <c r="M70" s="82" t="str">
        <f t="shared" si="6"/>
        <v>Spełniona</v>
      </c>
      <c r="N70" s="82" t="str">
        <f t="shared" si="6"/>
        <v>Spełniona</v>
      </c>
      <c r="O70" s="82" t="str">
        <f t="shared" si="6"/>
        <v>Spełniona</v>
      </c>
      <c r="P70" s="82" t="str">
        <f t="shared" si="6"/>
        <v>Spełniona</v>
      </c>
      <c r="Q70" s="82" t="str">
        <f t="shared" si="6"/>
        <v>Spełniona</v>
      </c>
      <c r="R70" s="82" t="str">
        <f t="shared" si="6"/>
        <v>Spełniona</v>
      </c>
      <c r="S70" s="82" t="str">
        <f t="shared" si="6"/>
        <v>Spełniona</v>
      </c>
      <c r="T70" s="82" t="str">
        <f t="shared" si="6"/>
        <v>Spełniona</v>
      </c>
    </row>
    <row r="71" spans="1:20" ht="42" customHeight="1">
      <c r="A71" s="126">
        <v>9</v>
      </c>
      <c r="B71" s="127" t="s">
        <v>190</v>
      </c>
      <c r="C71" s="77" t="s">
        <v>174</v>
      </c>
      <c r="D71" s="8" t="s">
        <v>174</v>
      </c>
      <c r="E71" s="8" t="s">
        <v>174</v>
      </c>
      <c r="F71" s="9" t="s">
        <v>174</v>
      </c>
      <c r="G71" s="10" t="s">
        <v>174</v>
      </c>
      <c r="H71" s="11" t="s">
        <v>174</v>
      </c>
      <c r="I71" s="11" t="s">
        <v>174</v>
      </c>
      <c r="J71" s="11" t="s">
        <v>174</v>
      </c>
      <c r="K71" s="11" t="s">
        <v>174</v>
      </c>
      <c r="L71" s="11" t="s">
        <v>174</v>
      </c>
      <c r="M71" s="11" t="s">
        <v>174</v>
      </c>
      <c r="N71" s="11" t="s">
        <v>174</v>
      </c>
      <c r="O71" s="11" t="s">
        <v>174</v>
      </c>
      <c r="P71" s="11" t="s">
        <v>174</v>
      </c>
      <c r="Q71" s="11" t="s">
        <v>174</v>
      </c>
      <c r="R71" s="11" t="s">
        <v>174</v>
      </c>
      <c r="S71" s="11" t="s">
        <v>174</v>
      </c>
      <c r="T71" s="11" t="s">
        <v>174</v>
      </c>
    </row>
    <row r="72" spans="1:20" ht="42.75" customHeight="1">
      <c r="A72" s="123" t="s">
        <v>178</v>
      </c>
      <c r="B72" s="180" t="s">
        <v>287</v>
      </c>
      <c r="C72" s="75">
        <f>1117061.86</f>
        <v>1117061.8600000001</v>
      </c>
      <c r="D72" s="4">
        <f>1625820.8</f>
        <v>1625820.8</v>
      </c>
      <c r="E72" s="4">
        <f>3043760</f>
        <v>3043760</v>
      </c>
      <c r="F72" s="5">
        <f>3845386.39</f>
        <v>3845386.39</v>
      </c>
      <c r="G72" s="6">
        <f>2384207</f>
        <v>2384207</v>
      </c>
      <c r="H72" s="7">
        <f>773024</f>
        <v>773024</v>
      </c>
      <c r="I72" s="7">
        <f>118896</f>
        <v>118896</v>
      </c>
      <c r="J72" s="7">
        <f>0</f>
        <v>0</v>
      </c>
      <c r="K72" s="7">
        <f>0</f>
        <v>0</v>
      </c>
      <c r="L72" s="7">
        <f>0</f>
        <v>0</v>
      </c>
      <c r="M72" s="7">
        <f>0</f>
        <v>0</v>
      </c>
      <c r="N72" s="7">
        <f>0</f>
        <v>0</v>
      </c>
      <c r="O72" s="7">
        <f>0</f>
        <v>0</v>
      </c>
      <c r="P72" s="7">
        <f>0</f>
        <v>0</v>
      </c>
      <c r="Q72" s="7">
        <f>0</f>
        <v>0</v>
      </c>
      <c r="R72" s="7">
        <f>0</f>
        <v>0</v>
      </c>
      <c r="S72" s="7">
        <f>0</f>
        <v>0</v>
      </c>
      <c r="T72" s="7">
        <f>0</f>
        <v>0</v>
      </c>
    </row>
    <row r="73" spans="1:20" ht="55.5" customHeight="1">
      <c r="A73" s="123" t="s">
        <v>288</v>
      </c>
      <c r="B73" s="124" t="s">
        <v>289</v>
      </c>
      <c r="C73" s="75">
        <f>1117061.86</f>
        <v>1117061.8600000001</v>
      </c>
      <c r="D73" s="4">
        <f>1625820.8</f>
        <v>1625820.8</v>
      </c>
      <c r="E73" s="4">
        <f>3043760</f>
        <v>3043760</v>
      </c>
      <c r="F73" s="5">
        <f>3845386.39</f>
        <v>3845386.39</v>
      </c>
      <c r="G73" s="6">
        <f>2384207</f>
        <v>2384207</v>
      </c>
      <c r="H73" s="7">
        <f>773024</f>
        <v>773024</v>
      </c>
      <c r="I73" s="7">
        <f>118896</f>
        <v>118896</v>
      </c>
      <c r="J73" s="7">
        <f>0</f>
        <v>0</v>
      </c>
      <c r="K73" s="7">
        <f>0</f>
        <v>0</v>
      </c>
      <c r="L73" s="7">
        <f>0</f>
        <v>0</v>
      </c>
      <c r="M73" s="7">
        <f>0</f>
        <v>0</v>
      </c>
      <c r="N73" s="7">
        <f>0</f>
        <v>0</v>
      </c>
      <c r="O73" s="7">
        <f>0</f>
        <v>0</v>
      </c>
      <c r="P73" s="7">
        <f>0</f>
        <v>0</v>
      </c>
      <c r="Q73" s="7">
        <f>0</f>
        <v>0</v>
      </c>
      <c r="R73" s="7">
        <f>0</f>
        <v>0</v>
      </c>
      <c r="S73" s="7">
        <f>0</f>
        <v>0</v>
      </c>
      <c r="T73" s="7">
        <f>0</f>
        <v>0</v>
      </c>
    </row>
    <row r="74" spans="1:20" ht="19.5" customHeight="1">
      <c r="A74" s="123" t="s">
        <v>290</v>
      </c>
      <c r="B74" s="181" t="s">
        <v>291</v>
      </c>
      <c r="C74" s="75">
        <f>1117061.86</f>
        <v>1117061.8600000001</v>
      </c>
      <c r="D74" s="4">
        <f>1560662.78</f>
        <v>1560662.78</v>
      </c>
      <c r="E74" s="4">
        <f>2822279</f>
        <v>2822279</v>
      </c>
      <c r="F74" s="5">
        <f>3604906.41</f>
        <v>3604906.41</v>
      </c>
      <c r="G74" s="6">
        <f>2118275</f>
        <v>2118275</v>
      </c>
      <c r="H74" s="7">
        <f>738612</f>
        <v>738612</v>
      </c>
      <c r="I74" s="7">
        <f>106080</f>
        <v>106080</v>
      </c>
      <c r="J74" s="7">
        <f>0</f>
        <v>0</v>
      </c>
      <c r="K74" s="7">
        <f>0</f>
        <v>0</v>
      </c>
      <c r="L74" s="7">
        <f>0</f>
        <v>0</v>
      </c>
      <c r="M74" s="7">
        <f>0</f>
        <v>0</v>
      </c>
      <c r="N74" s="7">
        <f>0</f>
        <v>0</v>
      </c>
      <c r="O74" s="7">
        <f>0</f>
        <v>0</v>
      </c>
      <c r="P74" s="7">
        <f>0</f>
        <v>0</v>
      </c>
      <c r="Q74" s="7">
        <f>0</f>
        <v>0</v>
      </c>
      <c r="R74" s="7">
        <f>0</f>
        <v>0</v>
      </c>
      <c r="S74" s="7">
        <f>0</f>
        <v>0</v>
      </c>
      <c r="T74" s="7">
        <f>0</f>
        <v>0</v>
      </c>
    </row>
    <row r="75" spans="1:20" ht="43.5" customHeight="1">
      <c r="A75" s="123" t="s">
        <v>179</v>
      </c>
      <c r="B75" s="180" t="s">
        <v>292</v>
      </c>
      <c r="C75" s="75">
        <f>181441</f>
        <v>181441</v>
      </c>
      <c r="D75" s="4">
        <f>586344.48</f>
        <v>586344.48</v>
      </c>
      <c r="E75" s="4">
        <f>0</f>
        <v>0</v>
      </c>
      <c r="F75" s="5">
        <f>0</f>
        <v>0</v>
      </c>
      <c r="G75" s="6">
        <f>0</f>
        <v>0</v>
      </c>
      <c r="H75" s="7">
        <f>0</f>
        <v>0</v>
      </c>
      <c r="I75" s="7">
        <f>0</f>
        <v>0</v>
      </c>
      <c r="J75" s="7">
        <f>0</f>
        <v>0</v>
      </c>
      <c r="K75" s="7">
        <f>0</f>
        <v>0</v>
      </c>
      <c r="L75" s="7">
        <f>0</f>
        <v>0</v>
      </c>
      <c r="M75" s="7">
        <f>0</f>
        <v>0</v>
      </c>
      <c r="N75" s="7">
        <f>0</f>
        <v>0</v>
      </c>
      <c r="O75" s="7">
        <f>0</f>
        <v>0</v>
      </c>
      <c r="P75" s="7">
        <f>0</f>
        <v>0</v>
      </c>
      <c r="Q75" s="7">
        <f>0</f>
        <v>0</v>
      </c>
      <c r="R75" s="7">
        <f>0</f>
        <v>0</v>
      </c>
      <c r="S75" s="7">
        <f>0</f>
        <v>0</v>
      </c>
      <c r="T75" s="7">
        <f>0</f>
        <v>0</v>
      </c>
    </row>
    <row r="76" spans="1:20" ht="53.25" customHeight="1">
      <c r="A76" s="123" t="s">
        <v>293</v>
      </c>
      <c r="B76" s="124" t="s">
        <v>294</v>
      </c>
      <c r="C76" s="75">
        <f>181441</f>
        <v>181441</v>
      </c>
      <c r="D76" s="4">
        <f>586344.48</f>
        <v>586344.48</v>
      </c>
      <c r="E76" s="4">
        <f>0</f>
        <v>0</v>
      </c>
      <c r="F76" s="5">
        <f>0</f>
        <v>0</v>
      </c>
      <c r="G76" s="6">
        <f>0</f>
        <v>0</v>
      </c>
      <c r="H76" s="7">
        <f>0</f>
        <v>0</v>
      </c>
      <c r="I76" s="7">
        <f>0</f>
        <v>0</v>
      </c>
      <c r="J76" s="7">
        <f>0</f>
        <v>0</v>
      </c>
      <c r="K76" s="7">
        <f>0</f>
        <v>0</v>
      </c>
      <c r="L76" s="7">
        <f>0</f>
        <v>0</v>
      </c>
      <c r="M76" s="7">
        <f>0</f>
        <v>0</v>
      </c>
      <c r="N76" s="7">
        <f>0</f>
        <v>0</v>
      </c>
      <c r="O76" s="7">
        <f>0</f>
        <v>0</v>
      </c>
      <c r="P76" s="7">
        <f>0</f>
        <v>0</v>
      </c>
      <c r="Q76" s="7">
        <f>0</f>
        <v>0</v>
      </c>
      <c r="R76" s="7">
        <f>0</f>
        <v>0</v>
      </c>
      <c r="S76" s="7">
        <f>0</f>
        <v>0</v>
      </c>
      <c r="T76" s="7">
        <f>0</f>
        <v>0</v>
      </c>
    </row>
    <row r="77" spans="1:20" ht="18" customHeight="1">
      <c r="A77" s="123" t="s">
        <v>295</v>
      </c>
      <c r="B77" s="181" t="s">
        <v>291</v>
      </c>
      <c r="C77" s="75">
        <f>1120</f>
        <v>1120</v>
      </c>
      <c r="D77" s="4">
        <f>586344.48</f>
        <v>586344.48</v>
      </c>
      <c r="E77" s="4">
        <f>0</f>
        <v>0</v>
      </c>
      <c r="F77" s="5">
        <f>0</f>
        <v>0</v>
      </c>
      <c r="G77" s="6">
        <f>0</f>
        <v>0</v>
      </c>
      <c r="H77" s="7">
        <f>0</f>
        <v>0</v>
      </c>
      <c r="I77" s="7">
        <f>0</f>
        <v>0</v>
      </c>
      <c r="J77" s="7">
        <f>0</f>
        <v>0</v>
      </c>
      <c r="K77" s="7">
        <f>0</f>
        <v>0</v>
      </c>
      <c r="L77" s="7">
        <f>0</f>
        <v>0</v>
      </c>
      <c r="M77" s="7">
        <f>0</f>
        <v>0</v>
      </c>
      <c r="N77" s="7">
        <f>0</f>
        <v>0</v>
      </c>
      <c r="O77" s="7">
        <f>0</f>
        <v>0</v>
      </c>
      <c r="P77" s="7">
        <f>0</f>
        <v>0</v>
      </c>
      <c r="Q77" s="7">
        <f>0</f>
        <v>0</v>
      </c>
      <c r="R77" s="7">
        <f>0</f>
        <v>0</v>
      </c>
      <c r="S77" s="7">
        <f>0</f>
        <v>0</v>
      </c>
      <c r="T77" s="7">
        <f>0</f>
        <v>0</v>
      </c>
    </row>
    <row r="78" spans="1:20" ht="41.25" customHeight="1">
      <c r="A78" s="123" t="s">
        <v>180</v>
      </c>
      <c r="B78" s="180" t="s">
        <v>194</v>
      </c>
      <c r="C78" s="75">
        <f>1214289.48</f>
        <v>1214289.48</v>
      </c>
      <c r="D78" s="4">
        <f>1441015.01</f>
        <v>1441015.01</v>
      </c>
      <c r="E78" s="4">
        <f>3264599</f>
        <v>3264599</v>
      </c>
      <c r="F78" s="5">
        <f>2856622.21</f>
        <v>2856622.21</v>
      </c>
      <c r="G78" s="6">
        <f>3908647</f>
        <v>3908647</v>
      </c>
      <c r="H78" s="7">
        <f>825744</f>
        <v>825744</v>
      </c>
      <c r="I78" s="7">
        <f>118896</f>
        <v>118896</v>
      </c>
      <c r="J78" s="7">
        <f>0</f>
        <v>0</v>
      </c>
      <c r="K78" s="7">
        <f>0</f>
        <v>0</v>
      </c>
      <c r="L78" s="7">
        <f>0</f>
        <v>0</v>
      </c>
      <c r="M78" s="7">
        <f>0</f>
        <v>0</v>
      </c>
      <c r="N78" s="7">
        <f>0</f>
        <v>0</v>
      </c>
      <c r="O78" s="7">
        <f>0</f>
        <v>0</v>
      </c>
      <c r="P78" s="7">
        <f>0</f>
        <v>0</v>
      </c>
      <c r="Q78" s="7">
        <f>0</f>
        <v>0</v>
      </c>
      <c r="R78" s="7">
        <f>0</f>
        <v>0</v>
      </c>
      <c r="S78" s="7">
        <f>0</f>
        <v>0</v>
      </c>
      <c r="T78" s="7">
        <f>0</f>
        <v>0</v>
      </c>
    </row>
    <row r="79" spans="1:20" ht="56.25" customHeight="1">
      <c r="A79" s="123" t="s">
        <v>296</v>
      </c>
      <c r="B79" s="124" t="s">
        <v>297</v>
      </c>
      <c r="C79" s="75">
        <f>1214289.48</f>
        <v>1214289.48</v>
      </c>
      <c r="D79" s="4">
        <f>1441015.01</f>
        <v>1441015.01</v>
      </c>
      <c r="E79" s="4">
        <f>3264599</f>
        <v>3264599</v>
      </c>
      <c r="F79" s="5">
        <f>2856622.21</f>
        <v>2856622.21</v>
      </c>
      <c r="G79" s="6">
        <f>3908647</f>
        <v>3908647</v>
      </c>
      <c r="H79" s="7">
        <f>825744</f>
        <v>825744</v>
      </c>
      <c r="I79" s="7">
        <f>118896</f>
        <v>118896</v>
      </c>
      <c r="J79" s="7">
        <f>0</f>
        <v>0</v>
      </c>
      <c r="K79" s="7">
        <f>0</f>
        <v>0</v>
      </c>
      <c r="L79" s="7">
        <f>0</f>
        <v>0</v>
      </c>
      <c r="M79" s="7">
        <f>0</f>
        <v>0</v>
      </c>
      <c r="N79" s="7">
        <f>0</f>
        <v>0</v>
      </c>
      <c r="O79" s="7">
        <f>0</f>
        <v>0</v>
      </c>
      <c r="P79" s="7">
        <f>0</f>
        <v>0</v>
      </c>
      <c r="Q79" s="7">
        <f>0</f>
        <v>0</v>
      </c>
      <c r="R79" s="7">
        <f>0</f>
        <v>0</v>
      </c>
      <c r="S79" s="7">
        <f>0</f>
        <v>0</v>
      </c>
      <c r="T79" s="7">
        <f>0</f>
        <v>0</v>
      </c>
    </row>
    <row r="80" spans="1:20" ht="36" customHeight="1">
      <c r="A80" s="123" t="s">
        <v>298</v>
      </c>
      <c r="B80" s="181" t="s">
        <v>299</v>
      </c>
      <c r="C80" s="75">
        <f>1117060.7</f>
        <v>1117060.7</v>
      </c>
      <c r="D80" s="4">
        <f>1322318.02</f>
        <v>1322318.02</v>
      </c>
      <c r="E80" s="4">
        <f>2929006</f>
        <v>2929006</v>
      </c>
      <c r="F80" s="5">
        <f>2541514.82</f>
        <v>2541514.8199999998</v>
      </c>
      <c r="G80" s="6">
        <f>3443254</f>
        <v>3443254</v>
      </c>
      <c r="H80" s="7">
        <f>738612</f>
        <v>738612</v>
      </c>
      <c r="I80" s="7">
        <f>106080</f>
        <v>106080</v>
      </c>
      <c r="J80" s="7">
        <f>0</f>
        <v>0</v>
      </c>
      <c r="K80" s="7">
        <f>0</f>
        <v>0</v>
      </c>
      <c r="L80" s="7">
        <f>0</f>
        <v>0</v>
      </c>
      <c r="M80" s="7">
        <f>0</f>
        <v>0</v>
      </c>
      <c r="N80" s="7">
        <f>0</f>
        <v>0</v>
      </c>
      <c r="O80" s="7">
        <f>0</f>
        <v>0</v>
      </c>
      <c r="P80" s="7">
        <f>0</f>
        <v>0</v>
      </c>
      <c r="Q80" s="7">
        <f>0</f>
        <v>0</v>
      </c>
      <c r="R80" s="7">
        <f>0</f>
        <v>0</v>
      </c>
      <c r="S80" s="7">
        <f>0</f>
        <v>0</v>
      </c>
      <c r="T80" s="7">
        <f>0</f>
        <v>0</v>
      </c>
    </row>
    <row r="81" spans="1:20" ht="45.75" customHeight="1">
      <c r="A81" s="123" t="s">
        <v>182</v>
      </c>
      <c r="B81" s="180" t="s">
        <v>195</v>
      </c>
      <c r="C81" s="75">
        <f>861627.63</f>
        <v>861627.63</v>
      </c>
      <c r="D81" s="4">
        <f>204170.41</f>
        <v>204170.41</v>
      </c>
      <c r="E81" s="4">
        <f>70572</f>
        <v>70572</v>
      </c>
      <c r="F81" s="5">
        <f>0</f>
        <v>0</v>
      </c>
      <c r="G81" s="6">
        <f>13255</f>
        <v>13255</v>
      </c>
      <c r="H81" s="7">
        <f>97666</f>
        <v>97666</v>
      </c>
      <c r="I81" s="7">
        <f>0</f>
        <v>0</v>
      </c>
      <c r="J81" s="7">
        <f>0</f>
        <v>0</v>
      </c>
      <c r="K81" s="7">
        <f>0</f>
        <v>0</v>
      </c>
      <c r="L81" s="7">
        <f>0</f>
        <v>0</v>
      </c>
      <c r="M81" s="7">
        <f>0</f>
        <v>0</v>
      </c>
      <c r="N81" s="7">
        <f>0</f>
        <v>0</v>
      </c>
      <c r="O81" s="7">
        <f>0</f>
        <v>0</v>
      </c>
      <c r="P81" s="7">
        <f>0</f>
        <v>0</v>
      </c>
      <c r="Q81" s="7">
        <f>0</f>
        <v>0</v>
      </c>
      <c r="R81" s="7">
        <f>0</f>
        <v>0</v>
      </c>
      <c r="S81" s="7">
        <f>0</f>
        <v>0</v>
      </c>
      <c r="T81" s="7">
        <f>0</f>
        <v>0</v>
      </c>
    </row>
    <row r="82" spans="1:20" ht="54.75" customHeight="1">
      <c r="A82" s="123" t="s">
        <v>300</v>
      </c>
      <c r="B82" s="124" t="s">
        <v>301</v>
      </c>
      <c r="C82" s="75">
        <f>861627.63</f>
        <v>861627.63</v>
      </c>
      <c r="D82" s="4">
        <f>204170.41</f>
        <v>204170.41</v>
      </c>
      <c r="E82" s="4">
        <f>70572</f>
        <v>70572</v>
      </c>
      <c r="F82" s="5">
        <f>0</f>
        <v>0</v>
      </c>
      <c r="G82" s="6">
        <f>13255</f>
        <v>13255</v>
      </c>
      <c r="H82" s="7">
        <f>97666</f>
        <v>97666</v>
      </c>
      <c r="I82" s="7">
        <f>0</f>
        <v>0</v>
      </c>
      <c r="J82" s="7">
        <f>0</f>
        <v>0</v>
      </c>
      <c r="K82" s="7">
        <f>0</f>
        <v>0</v>
      </c>
      <c r="L82" s="7">
        <f>0</f>
        <v>0</v>
      </c>
      <c r="M82" s="7">
        <f>0</f>
        <v>0</v>
      </c>
      <c r="N82" s="7">
        <f>0</f>
        <v>0</v>
      </c>
      <c r="O82" s="7">
        <f>0</f>
        <v>0</v>
      </c>
      <c r="P82" s="7">
        <f>0</f>
        <v>0</v>
      </c>
      <c r="Q82" s="7">
        <f>0</f>
        <v>0</v>
      </c>
      <c r="R82" s="7">
        <f>0</f>
        <v>0</v>
      </c>
      <c r="S82" s="7">
        <f>0</f>
        <v>0</v>
      </c>
      <c r="T82" s="7">
        <f>0</f>
        <v>0</v>
      </c>
    </row>
    <row r="83" spans="1:20" ht="30.75" customHeight="1">
      <c r="A83" s="123" t="s">
        <v>302</v>
      </c>
      <c r="B83" s="181" t="s">
        <v>299</v>
      </c>
      <c r="C83" s="75">
        <f>586344.48</f>
        <v>586344.48</v>
      </c>
      <c r="D83" s="4">
        <f>0</f>
        <v>0</v>
      </c>
      <c r="E83" s="4">
        <f>0</f>
        <v>0</v>
      </c>
      <c r="F83" s="5">
        <f>0</f>
        <v>0</v>
      </c>
      <c r="G83" s="6">
        <f>0</f>
        <v>0</v>
      </c>
      <c r="H83" s="7">
        <f>0</f>
        <v>0</v>
      </c>
      <c r="I83" s="7">
        <f>0</f>
        <v>0</v>
      </c>
      <c r="J83" s="7">
        <f>0</f>
        <v>0</v>
      </c>
      <c r="K83" s="7">
        <f>0</f>
        <v>0</v>
      </c>
      <c r="L83" s="7">
        <f>0</f>
        <v>0</v>
      </c>
      <c r="M83" s="7">
        <f>0</f>
        <v>0</v>
      </c>
      <c r="N83" s="7">
        <f>0</f>
        <v>0</v>
      </c>
      <c r="O83" s="7">
        <f>0</f>
        <v>0</v>
      </c>
      <c r="P83" s="7">
        <f>0</f>
        <v>0</v>
      </c>
      <c r="Q83" s="7">
        <f>0</f>
        <v>0</v>
      </c>
      <c r="R83" s="7">
        <f>0</f>
        <v>0</v>
      </c>
      <c r="S83" s="7">
        <f>0</f>
        <v>0</v>
      </c>
      <c r="T83" s="7">
        <f>0</f>
        <v>0</v>
      </c>
    </row>
    <row r="84" spans="1:20" ht="29.25" customHeight="1">
      <c r="A84" s="126">
        <v>10</v>
      </c>
      <c r="B84" s="127" t="s">
        <v>303</v>
      </c>
      <c r="C84" s="77" t="s">
        <v>174</v>
      </c>
      <c r="D84" s="8" t="s">
        <v>174</v>
      </c>
      <c r="E84" s="8" t="s">
        <v>174</v>
      </c>
      <c r="F84" s="9" t="s">
        <v>174</v>
      </c>
      <c r="G84" s="10" t="s">
        <v>174</v>
      </c>
      <c r="H84" s="11" t="s">
        <v>174</v>
      </c>
      <c r="I84" s="11" t="s">
        <v>174</v>
      </c>
      <c r="J84" s="11" t="s">
        <v>174</v>
      </c>
      <c r="K84" s="11" t="s">
        <v>174</v>
      </c>
      <c r="L84" s="11" t="s">
        <v>174</v>
      </c>
      <c r="M84" s="11" t="s">
        <v>174</v>
      </c>
      <c r="N84" s="11" t="s">
        <v>174</v>
      </c>
      <c r="O84" s="11" t="s">
        <v>174</v>
      </c>
      <c r="P84" s="11" t="s">
        <v>174</v>
      </c>
      <c r="Q84" s="11" t="s">
        <v>174</v>
      </c>
      <c r="R84" s="11" t="s">
        <v>174</v>
      </c>
      <c r="S84" s="11" t="s">
        <v>174</v>
      </c>
      <c r="T84" s="11" t="s">
        <v>174</v>
      </c>
    </row>
    <row r="85" spans="1:20" ht="30" customHeight="1">
      <c r="A85" s="123" t="s">
        <v>185</v>
      </c>
      <c r="B85" s="183" t="s">
        <v>304</v>
      </c>
      <c r="C85" s="75">
        <f>19651893.88</f>
        <v>19651893.879999999</v>
      </c>
      <c r="D85" s="4">
        <f>28121021.88</f>
        <v>28121021.879999999</v>
      </c>
      <c r="E85" s="4">
        <f>19307832</f>
        <v>19307832</v>
      </c>
      <c r="F85" s="5">
        <f>15921743.49</f>
        <v>15921743.49</v>
      </c>
      <c r="G85" s="6">
        <f>18486295</f>
        <v>18486295</v>
      </c>
      <c r="H85" s="7">
        <f>14667168</f>
        <v>14667168</v>
      </c>
      <c r="I85" s="7">
        <f>12867837</f>
        <v>12867837</v>
      </c>
      <c r="J85" s="7">
        <f>13191023</f>
        <v>13191023</v>
      </c>
      <c r="K85" s="7">
        <f>11460000</f>
        <v>11460000</v>
      </c>
      <c r="L85" s="7">
        <f>10030000</f>
        <v>10030000</v>
      </c>
      <c r="M85" s="7">
        <f>3500000</f>
        <v>3500000</v>
      </c>
      <c r="N85" s="7">
        <f>1050000</f>
        <v>1050000</v>
      </c>
      <c r="O85" s="7">
        <f>700000</f>
        <v>700000</v>
      </c>
      <c r="P85" s="7">
        <f>0</f>
        <v>0</v>
      </c>
      <c r="Q85" s="7">
        <f>0</f>
        <v>0</v>
      </c>
      <c r="R85" s="7">
        <f>0</f>
        <v>0</v>
      </c>
      <c r="S85" s="7">
        <f>0</f>
        <v>0</v>
      </c>
      <c r="T85" s="7">
        <f>0</f>
        <v>0</v>
      </c>
    </row>
    <row r="86" spans="1:20" ht="18" customHeight="1">
      <c r="A86" s="123" t="s">
        <v>305</v>
      </c>
      <c r="B86" s="124" t="s">
        <v>188</v>
      </c>
      <c r="C86" s="75">
        <f>1317922.84</f>
        <v>1317922.8400000001</v>
      </c>
      <c r="D86" s="4">
        <f>1763345.01</f>
        <v>1763345.01</v>
      </c>
      <c r="E86" s="4">
        <f>3647747</f>
        <v>3647747</v>
      </c>
      <c r="F86" s="5">
        <f>3176982.75</f>
        <v>3176982.75</v>
      </c>
      <c r="G86" s="6">
        <f>3854423</f>
        <v>3854423</v>
      </c>
      <c r="H86" s="7">
        <f>2274681</f>
        <v>2274681</v>
      </c>
      <c r="I86" s="7">
        <f>1187837</f>
        <v>1187837</v>
      </c>
      <c r="J86" s="7">
        <f>903540</f>
        <v>903540</v>
      </c>
      <c r="K86" s="7">
        <f>0</f>
        <v>0</v>
      </c>
      <c r="L86" s="7">
        <f>0</f>
        <v>0</v>
      </c>
      <c r="M86" s="7">
        <f>0</f>
        <v>0</v>
      </c>
      <c r="N86" s="7">
        <f>0</f>
        <v>0</v>
      </c>
      <c r="O86" s="7">
        <f>0</f>
        <v>0</v>
      </c>
      <c r="P86" s="7">
        <f>0</f>
        <v>0</v>
      </c>
      <c r="Q86" s="7">
        <f>0</f>
        <v>0</v>
      </c>
      <c r="R86" s="7">
        <f>0</f>
        <v>0</v>
      </c>
      <c r="S86" s="7">
        <f>0</f>
        <v>0</v>
      </c>
      <c r="T86" s="7">
        <f>0</f>
        <v>0</v>
      </c>
    </row>
    <row r="87" spans="1:20" ht="18" customHeight="1">
      <c r="A87" s="123" t="s">
        <v>306</v>
      </c>
      <c r="B87" s="124" t="s">
        <v>189</v>
      </c>
      <c r="C87" s="75">
        <f>18333971.04</f>
        <v>18333971.039999999</v>
      </c>
      <c r="D87" s="4">
        <f>26357676.87</f>
        <v>26357676.870000001</v>
      </c>
      <c r="E87" s="4">
        <f>15660085</f>
        <v>15660085</v>
      </c>
      <c r="F87" s="5">
        <f>12744760.74</f>
        <v>12744760.74</v>
      </c>
      <c r="G87" s="6">
        <f>14631872</f>
        <v>14631872</v>
      </c>
      <c r="H87" s="7">
        <f>12392487</f>
        <v>12392487</v>
      </c>
      <c r="I87" s="7">
        <f>11680000</f>
        <v>11680000</v>
      </c>
      <c r="J87" s="7">
        <f>12287483</f>
        <v>12287483</v>
      </c>
      <c r="K87" s="7">
        <f>11460000</f>
        <v>11460000</v>
      </c>
      <c r="L87" s="7">
        <f>10030000</f>
        <v>10030000</v>
      </c>
      <c r="M87" s="7">
        <f>3500000</f>
        <v>3500000</v>
      </c>
      <c r="N87" s="7">
        <f>1050000</f>
        <v>1050000</v>
      </c>
      <c r="O87" s="7">
        <f>700000</f>
        <v>700000</v>
      </c>
      <c r="P87" s="7">
        <f>0</f>
        <v>0</v>
      </c>
      <c r="Q87" s="7">
        <f>0</f>
        <v>0</v>
      </c>
      <c r="R87" s="7">
        <f>0</f>
        <v>0</v>
      </c>
      <c r="S87" s="7">
        <f>0</f>
        <v>0</v>
      </c>
      <c r="T87" s="7">
        <f>0</f>
        <v>0</v>
      </c>
    </row>
    <row r="88" spans="1:20" ht="42.75" customHeight="1">
      <c r="A88" s="123" t="s">
        <v>307</v>
      </c>
      <c r="B88" s="180" t="s">
        <v>196</v>
      </c>
      <c r="C88" s="75">
        <f>0</f>
        <v>0</v>
      </c>
      <c r="D88" s="4">
        <f>0</f>
        <v>0</v>
      </c>
      <c r="E88" s="4">
        <f>0</f>
        <v>0</v>
      </c>
      <c r="F88" s="5">
        <f>0</f>
        <v>0</v>
      </c>
      <c r="G88" s="6">
        <f>0</f>
        <v>0</v>
      </c>
      <c r="H88" s="7">
        <f>0</f>
        <v>0</v>
      </c>
      <c r="I88" s="7">
        <f>0</f>
        <v>0</v>
      </c>
      <c r="J88" s="7">
        <f>0</f>
        <v>0</v>
      </c>
      <c r="K88" s="7">
        <f>0</f>
        <v>0</v>
      </c>
      <c r="L88" s="7">
        <f>0</f>
        <v>0</v>
      </c>
      <c r="M88" s="7">
        <f>0</f>
        <v>0</v>
      </c>
      <c r="N88" s="7">
        <f>0</f>
        <v>0</v>
      </c>
      <c r="O88" s="7">
        <f>0</f>
        <v>0</v>
      </c>
      <c r="P88" s="7">
        <f>0</f>
        <v>0</v>
      </c>
      <c r="Q88" s="7">
        <f>0</f>
        <v>0</v>
      </c>
      <c r="R88" s="7">
        <f>0</f>
        <v>0</v>
      </c>
      <c r="S88" s="7">
        <f>0</f>
        <v>0</v>
      </c>
      <c r="T88" s="7">
        <f>0</f>
        <v>0</v>
      </c>
    </row>
    <row r="89" spans="1:20" ht="55.5" customHeight="1">
      <c r="A89" s="123" t="s">
        <v>308</v>
      </c>
      <c r="B89" s="180" t="s">
        <v>309</v>
      </c>
      <c r="C89" s="75">
        <f>654761.88</f>
        <v>654761.88</v>
      </c>
      <c r="D89" s="4">
        <f>654761.88</f>
        <v>654761.88</v>
      </c>
      <c r="E89" s="4">
        <f>654762</f>
        <v>654762</v>
      </c>
      <c r="F89" s="5">
        <f>654761.88</f>
        <v>654761.88</v>
      </c>
      <c r="G89" s="6">
        <f>654762</f>
        <v>654762</v>
      </c>
      <c r="H89" s="7">
        <f>654762</f>
        <v>654762</v>
      </c>
      <c r="I89" s="7">
        <f>0</f>
        <v>0</v>
      </c>
      <c r="J89" s="7">
        <f>0</f>
        <v>0</v>
      </c>
      <c r="K89" s="7">
        <f>0</f>
        <v>0</v>
      </c>
      <c r="L89" s="7">
        <f>0</f>
        <v>0</v>
      </c>
      <c r="M89" s="7">
        <f>0</f>
        <v>0</v>
      </c>
      <c r="N89" s="7">
        <f>0</f>
        <v>0</v>
      </c>
      <c r="O89" s="7">
        <f>0</f>
        <v>0</v>
      </c>
      <c r="P89" s="7">
        <f>0</f>
        <v>0</v>
      </c>
      <c r="Q89" s="7">
        <f>0</f>
        <v>0</v>
      </c>
      <c r="R89" s="7">
        <f>0</f>
        <v>0</v>
      </c>
      <c r="S89" s="7">
        <f>0</f>
        <v>0</v>
      </c>
      <c r="T89" s="7">
        <f>0</f>
        <v>0</v>
      </c>
    </row>
    <row r="90" spans="1:20" ht="69.75" customHeight="1">
      <c r="A90" s="123" t="s">
        <v>310</v>
      </c>
      <c r="B90" s="180" t="s">
        <v>181</v>
      </c>
      <c r="C90" s="75">
        <f>0</f>
        <v>0</v>
      </c>
      <c r="D90" s="4">
        <f>0</f>
        <v>0</v>
      </c>
      <c r="E90" s="4">
        <f>0</f>
        <v>0</v>
      </c>
      <c r="F90" s="5">
        <f>0</f>
        <v>0</v>
      </c>
      <c r="G90" s="6">
        <f>0</f>
        <v>0</v>
      </c>
      <c r="H90" s="7">
        <f>0</f>
        <v>0</v>
      </c>
      <c r="I90" s="7">
        <f>0</f>
        <v>0</v>
      </c>
      <c r="J90" s="7">
        <f>0</f>
        <v>0</v>
      </c>
      <c r="K90" s="7">
        <f>0</f>
        <v>0</v>
      </c>
      <c r="L90" s="7">
        <f>0</f>
        <v>0</v>
      </c>
      <c r="M90" s="7">
        <f>0</f>
        <v>0</v>
      </c>
      <c r="N90" s="7">
        <f>0</f>
        <v>0</v>
      </c>
      <c r="O90" s="7">
        <f>0</f>
        <v>0</v>
      </c>
      <c r="P90" s="7">
        <f>0</f>
        <v>0</v>
      </c>
      <c r="Q90" s="7">
        <f>0</f>
        <v>0</v>
      </c>
      <c r="R90" s="7">
        <f>0</f>
        <v>0</v>
      </c>
      <c r="S90" s="7">
        <f>0</f>
        <v>0</v>
      </c>
      <c r="T90" s="7">
        <f>0</f>
        <v>0</v>
      </c>
    </row>
    <row r="91" spans="1:20" ht="69" customHeight="1">
      <c r="A91" s="123" t="s">
        <v>311</v>
      </c>
      <c r="B91" s="180" t="s">
        <v>312</v>
      </c>
      <c r="C91" s="75">
        <f>2619047.69</f>
        <v>2619047.69</v>
      </c>
      <c r="D91" s="4">
        <f>1964285.81</f>
        <v>1964285.81</v>
      </c>
      <c r="E91" s="4">
        <f>1309524</f>
        <v>1309524</v>
      </c>
      <c r="F91" s="5">
        <f>1309524</f>
        <v>1309524</v>
      </c>
      <c r="G91" s="6">
        <f>654762</f>
        <v>654762</v>
      </c>
      <c r="H91" s="7">
        <f>0</f>
        <v>0</v>
      </c>
      <c r="I91" s="7">
        <f>0</f>
        <v>0</v>
      </c>
      <c r="J91" s="7">
        <f>0</f>
        <v>0</v>
      </c>
      <c r="K91" s="7">
        <f>0</f>
        <v>0</v>
      </c>
      <c r="L91" s="7">
        <f>0</f>
        <v>0</v>
      </c>
      <c r="M91" s="7">
        <f>0</f>
        <v>0</v>
      </c>
      <c r="N91" s="7">
        <f>0</f>
        <v>0</v>
      </c>
      <c r="O91" s="7">
        <f>0</f>
        <v>0</v>
      </c>
      <c r="P91" s="7">
        <f>0</f>
        <v>0</v>
      </c>
      <c r="Q91" s="7">
        <f>0</f>
        <v>0</v>
      </c>
      <c r="R91" s="7">
        <f>0</f>
        <v>0</v>
      </c>
      <c r="S91" s="7">
        <f>0</f>
        <v>0</v>
      </c>
      <c r="T91" s="7">
        <f>0</f>
        <v>0</v>
      </c>
    </row>
    <row r="92" spans="1:20" ht="39.75" customHeight="1">
      <c r="A92" s="123" t="s">
        <v>313</v>
      </c>
      <c r="B92" s="180" t="s">
        <v>314</v>
      </c>
      <c r="C92" s="75">
        <f>6677276</f>
        <v>6677276</v>
      </c>
      <c r="D92" s="4">
        <f>6560935</f>
        <v>6560935</v>
      </c>
      <c r="E92" s="4">
        <f>5788270</f>
        <v>5788270</v>
      </c>
      <c r="F92" s="5">
        <f>5788270</f>
        <v>5788270</v>
      </c>
      <c r="G92" s="6">
        <f>5254612</f>
        <v>5254612</v>
      </c>
      <c r="H92" s="7">
        <f>4542000</f>
        <v>4542000</v>
      </c>
      <c r="I92" s="7">
        <f>4742000</f>
        <v>4742000</v>
      </c>
      <c r="J92" s="7">
        <f>4242000</f>
        <v>4242000</v>
      </c>
      <c r="K92" s="7">
        <f>4392000</f>
        <v>4392000</v>
      </c>
      <c r="L92" s="7">
        <f>4592000</f>
        <v>4592000</v>
      </c>
      <c r="M92" s="7">
        <f>4300000</f>
        <v>4300000</v>
      </c>
      <c r="N92" s="7">
        <f>4300000</f>
        <v>4300000</v>
      </c>
      <c r="O92" s="7">
        <f>4300000</f>
        <v>4300000</v>
      </c>
      <c r="P92" s="7">
        <f>3600000</f>
        <v>3600000</v>
      </c>
      <c r="Q92" s="7">
        <f>3000000</f>
        <v>3000000</v>
      </c>
      <c r="R92" s="7">
        <f>2900000</f>
        <v>2900000</v>
      </c>
      <c r="S92" s="7">
        <f>0</f>
        <v>0</v>
      </c>
      <c r="T92" s="7">
        <f>0</f>
        <v>0</v>
      </c>
    </row>
    <row r="93" spans="1:20" ht="18.75" customHeight="1">
      <c r="A93" s="123" t="s">
        <v>315</v>
      </c>
      <c r="B93" s="180" t="s">
        <v>316</v>
      </c>
      <c r="C93" s="75">
        <f>654761.88</f>
        <v>654761.88</v>
      </c>
      <c r="D93" s="4">
        <f>654761.88</f>
        <v>654761.88</v>
      </c>
      <c r="E93" s="4">
        <f>654762</f>
        <v>654762</v>
      </c>
      <c r="F93" s="5">
        <f>654762</f>
        <v>654762</v>
      </c>
      <c r="G93" s="6">
        <f>654762</f>
        <v>654762</v>
      </c>
      <c r="H93" s="7">
        <f>654762</f>
        <v>654762</v>
      </c>
      <c r="I93" s="7">
        <f>0</f>
        <v>0</v>
      </c>
      <c r="J93" s="7">
        <f>0</f>
        <v>0</v>
      </c>
      <c r="K93" s="7">
        <f>0</f>
        <v>0</v>
      </c>
      <c r="L93" s="7">
        <f>0</f>
        <v>0</v>
      </c>
      <c r="M93" s="7">
        <f>0</f>
        <v>0</v>
      </c>
      <c r="N93" s="7">
        <f>0</f>
        <v>0</v>
      </c>
      <c r="O93" s="7">
        <f>0</f>
        <v>0</v>
      </c>
      <c r="P93" s="7">
        <f>0</f>
        <v>0</v>
      </c>
      <c r="Q93" s="7">
        <f>0</f>
        <v>0</v>
      </c>
      <c r="R93" s="7">
        <f>0</f>
        <v>0</v>
      </c>
      <c r="S93" s="7">
        <f>0</f>
        <v>0</v>
      </c>
      <c r="T93" s="7">
        <f>0</f>
        <v>0</v>
      </c>
    </row>
    <row r="94" spans="1:20" ht="32.25" customHeight="1">
      <c r="A94" s="123" t="s">
        <v>317</v>
      </c>
      <c r="B94" s="124" t="s">
        <v>318</v>
      </c>
      <c r="C94" s="75">
        <f>0</f>
        <v>0</v>
      </c>
      <c r="D94" s="4">
        <f>0</f>
        <v>0</v>
      </c>
      <c r="E94" s="4">
        <f>0</f>
        <v>0</v>
      </c>
      <c r="F94" s="5">
        <f>0</f>
        <v>0</v>
      </c>
      <c r="G94" s="6">
        <f>0</f>
        <v>0</v>
      </c>
      <c r="H94" s="7">
        <f>0</f>
        <v>0</v>
      </c>
      <c r="I94" s="7">
        <f>0</f>
        <v>0</v>
      </c>
      <c r="J94" s="7">
        <f>0</f>
        <v>0</v>
      </c>
      <c r="K94" s="7">
        <f>0</f>
        <v>0</v>
      </c>
      <c r="L94" s="7">
        <f>0</f>
        <v>0</v>
      </c>
      <c r="M94" s="7">
        <f>0</f>
        <v>0</v>
      </c>
      <c r="N94" s="7">
        <f>0</f>
        <v>0</v>
      </c>
      <c r="O94" s="7">
        <f>0</f>
        <v>0</v>
      </c>
      <c r="P94" s="7">
        <f>0</f>
        <v>0</v>
      </c>
      <c r="Q94" s="7">
        <f>0</f>
        <v>0</v>
      </c>
      <c r="R94" s="7">
        <f>0</f>
        <v>0</v>
      </c>
      <c r="S94" s="7">
        <f>0</f>
        <v>0</v>
      </c>
      <c r="T94" s="7">
        <f>0</f>
        <v>0</v>
      </c>
    </row>
    <row r="95" spans="1:20" ht="29.25" customHeight="1">
      <c r="A95" s="123" t="s">
        <v>319</v>
      </c>
      <c r="B95" s="124" t="s">
        <v>320</v>
      </c>
      <c r="C95" s="75">
        <f>654761.88</f>
        <v>654761.88</v>
      </c>
      <c r="D95" s="4">
        <f>654761.88</f>
        <v>654761.88</v>
      </c>
      <c r="E95" s="4">
        <f>654762</f>
        <v>654762</v>
      </c>
      <c r="F95" s="5">
        <f>654762</f>
        <v>654762</v>
      </c>
      <c r="G95" s="6">
        <f>654762</f>
        <v>654762</v>
      </c>
      <c r="H95" s="7">
        <f>654762</f>
        <v>654762</v>
      </c>
      <c r="I95" s="7">
        <f>0</f>
        <v>0</v>
      </c>
      <c r="J95" s="7">
        <f>0</f>
        <v>0</v>
      </c>
      <c r="K95" s="7">
        <f>0</f>
        <v>0</v>
      </c>
      <c r="L95" s="7">
        <f>0</f>
        <v>0</v>
      </c>
      <c r="M95" s="7">
        <f>0</f>
        <v>0</v>
      </c>
      <c r="N95" s="7">
        <f>0</f>
        <v>0</v>
      </c>
      <c r="O95" s="7">
        <f>0</f>
        <v>0</v>
      </c>
      <c r="P95" s="7">
        <f>0</f>
        <v>0</v>
      </c>
      <c r="Q95" s="7">
        <f>0</f>
        <v>0</v>
      </c>
      <c r="R95" s="7">
        <f>0</f>
        <v>0</v>
      </c>
      <c r="S95" s="7">
        <f>0</f>
        <v>0</v>
      </c>
      <c r="T95" s="7">
        <f>0</f>
        <v>0</v>
      </c>
    </row>
    <row r="96" spans="1:20" ht="30.75" customHeight="1">
      <c r="A96" s="123" t="s">
        <v>321</v>
      </c>
      <c r="B96" s="181" t="s">
        <v>322</v>
      </c>
      <c r="C96" s="75">
        <f>0</f>
        <v>0</v>
      </c>
      <c r="D96" s="4">
        <f>0</f>
        <v>0</v>
      </c>
      <c r="E96" s="4">
        <f>0</f>
        <v>0</v>
      </c>
      <c r="F96" s="5">
        <f>0</f>
        <v>0</v>
      </c>
      <c r="G96" s="6">
        <f>0</f>
        <v>0</v>
      </c>
      <c r="H96" s="7">
        <f>0</f>
        <v>0</v>
      </c>
      <c r="I96" s="7">
        <f>0</f>
        <v>0</v>
      </c>
      <c r="J96" s="7">
        <f>0</f>
        <v>0</v>
      </c>
      <c r="K96" s="7">
        <f>0</f>
        <v>0</v>
      </c>
      <c r="L96" s="7">
        <f>0</f>
        <v>0</v>
      </c>
      <c r="M96" s="7">
        <f>0</f>
        <v>0</v>
      </c>
      <c r="N96" s="7">
        <f>0</f>
        <v>0</v>
      </c>
      <c r="O96" s="7">
        <f>0</f>
        <v>0</v>
      </c>
      <c r="P96" s="7">
        <f>0</f>
        <v>0</v>
      </c>
      <c r="Q96" s="7">
        <f>0</f>
        <v>0</v>
      </c>
      <c r="R96" s="7">
        <f>0</f>
        <v>0</v>
      </c>
      <c r="S96" s="7">
        <f>0</f>
        <v>0</v>
      </c>
      <c r="T96" s="7">
        <f>0</f>
        <v>0</v>
      </c>
    </row>
    <row r="97" spans="1:20" ht="18" customHeight="1">
      <c r="A97" s="123" t="s">
        <v>323</v>
      </c>
      <c r="B97" s="125" t="s">
        <v>324</v>
      </c>
      <c r="C97" s="75">
        <f>0</f>
        <v>0</v>
      </c>
      <c r="D97" s="4">
        <f>0</f>
        <v>0</v>
      </c>
      <c r="E97" s="4">
        <f>0</f>
        <v>0</v>
      </c>
      <c r="F97" s="5">
        <f>0</f>
        <v>0</v>
      </c>
      <c r="G97" s="6">
        <f>0</f>
        <v>0</v>
      </c>
      <c r="H97" s="7">
        <f>0</f>
        <v>0</v>
      </c>
      <c r="I97" s="7">
        <f>0</f>
        <v>0</v>
      </c>
      <c r="J97" s="7">
        <f>0</f>
        <v>0</v>
      </c>
      <c r="K97" s="7">
        <f>0</f>
        <v>0</v>
      </c>
      <c r="L97" s="7">
        <f>0</f>
        <v>0</v>
      </c>
      <c r="M97" s="7">
        <f>0</f>
        <v>0</v>
      </c>
      <c r="N97" s="7">
        <f>0</f>
        <v>0</v>
      </c>
      <c r="O97" s="7">
        <f>0</f>
        <v>0</v>
      </c>
      <c r="P97" s="7">
        <f>0</f>
        <v>0</v>
      </c>
      <c r="Q97" s="7">
        <f>0</f>
        <v>0</v>
      </c>
      <c r="R97" s="7">
        <f>0</f>
        <v>0</v>
      </c>
      <c r="S97" s="7">
        <f>0</f>
        <v>0</v>
      </c>
      <c r="T97" s="7">
        <f>0</f>
        <v>0</v>
      </c>
    </row>
    <row r="98" spans="1:20" ht="30.75" customHeight="1">
      <c r="A98" s="123" t="s">
        <v>325</v>
      </c>
      <c r="B98" s="124" t="s">
        <v>197</v>
      </c>
      <c r="C98" s="75">
        <f>0</f>
        <v>0</v>
      </c>
      <c r="D98" s="4">
        <f>0</f>
        <v>0</v>
      </c>
      <c r="E98" s="4">
        <f>0</f>
        <v>0</v>
      </c>
      <c r="F98" s="5">
        <f>0</f>
        <v>0</v>
      </c>
      <c r="G98" s="6">
        <f>0</f>
        <v>0</v>
      </c>
      <c r="H98" s="7">
        <f>0</f>
        <v>0</v>
      </c>
      <c r="I98" s="7">
        <f>0</f>
        <v>0</v>
      </c>
      <c r="J98" s="7">
        <f>0</f>
        <v>0</v>
      </c>
      <c r="K98" s="7">
        <f>0</f>
        <v>0</v>
      </c>
      <c r="L98" s="7">
        <f>0</f>
        <v>0</v>
      </c>
      <c r="M98" s="7">
        <f>0</f>
        <v>0</v>
      </c>
      <c r="N98" s="7">
        <f>0</f>
        <v>0</v>
      </c>
      <c r="O98" s="7">
        <f>0</f>
        <v>0</v>
      </c>
      <c r="P98" s="7">
        <f>0</f>
        <v>0</v>
      </c>
      <c r="Q98" s="7">
        <f>0</f>
        <v>0</v>
      </c>
      <c r="R98" s="7">
        <f>0</f>
        <v>0</v>
      </c>
      <c r="S98" s="7">
        <f>0</f>
        <v>0</v>
      </c>
      <c r="T98" s="7">
        <f>0</f>
        <v>0</v>
      </c>
    </row>
    <row r="99" spans="1:20" ht="42.75" customHeight="1">
      <c r="A99" s="123" t="s">
        <v>326</v>
      </c>
      <c r="B99" s="180" t="s">
        <v>327</v>
      </c>
      <c r="C99" s="75">
        <f>0</f>
        <v>0</v>
      </c>
      <c r="D99" s="4">
        <f>0</f>
        <v>0</v>
      </c>
      <c r="E99" s="4">
        <f>0</f>
        <v>0</v>
      </c>
      <c r="F99" s="5">
        <f>-0.07</f>
        <v>-7.0000000000000007E-2</v>
      </c>
      <c r="G99" s="6">
        <f>0.07</f>
        <v>7.0000000000000007E-2</v>
      </c>
      <c r="H99" s="7">
        <f>0</f>
        <v>0</v>
      </c>
      <c r="I99" s="7">
        <f>0</f>
        <v>0</v>
      </c>
      <c r="J99" s="7">
        <f>0</f>
        <v>0</v>
      </c>
      <c r="K99" s="7">
        <f>0</f>
        <v>0</v>
      </c>
      <c r="L99" s="7">
        <f>0</f>
        <v>0</v>
      </c>
      <c r="M99" s="7">
        <f>0</f>
        <v>0</v>
      </c>
      <c r="N99" s="7">
        <f>0</f>
        <v>0</v>
      </c>
      <c r="O99" s="7">
        <f>0</f>
        <v>0</v>
      </c>
      <c r="P99" s="7">
        <f>0</f>
        <v>0</v>
      </c>
      <c r="Q99" s="7">
        <f>0</f>
        <v>0</v>
      </c>
      <c r="R99" s="7">
        <f>0</f>
        <v>0</v>
      </c>
      <c r="S99" s="7">
        <f>0</f>
        <v>0</v>
      </c>
      <c r="T99" s="7">
        <f>0</f>
        <v>0</v>
      </c>
    </row>
    <row r="100" spans="1:20" ht="42.75" customHeight="1">
      <c r="A100" s="123" t="s">
        <v>328</v>
      </c>
      <c r="B100" s="180" t="s">
        <v>329</v>
      </c>
      <c r="C100" s="75">
        <f>0</f>
        <v>0</v>
      </c>
      <c r="D100" s="4">
        <f>0</f>
        <v>0</v>
      </c>
      <c r="E100" s="4">
        <f>0</f>
        <v>0</v>
      </c>
      <c r="F100" s="5">
        <f>0</f>
        <v>0</v>
      </c>
      <c r="G100" s="6">
        <f>0</f>
        <v>0</v>
      </c>
      <c r="H100" s="7">
        <f>0</f>
        <v>0</v>
      </c>
      <c r="I100" s="7">
        <f>0</f>
        <v>0</v>
      </c>
      <c r="J100" s="7">
        <f>0</f>
        <v>0</v>
      </c>
      <c r="K100" s="7">
        <f>0</f>
        <v>0</v>
      </c>
      <c r="L100" s="7">
        <f>0</f>
        <v>0</v>
      </c>
      <c r="M100" s="7">
        <f>0</f>
        <v>0</v>
      </c>
      <c r="N100" s="7">
        <f>0</f>
        <v>0</v>
      </c>
      <c r="O100" s="7">
        <f>0</f>
        <v>0</v>
      </c>
      <c r="P100" s="7">
        <f>0</f>
        <v>0</v>
      </c>
      <c r="Q100" s="7">
        <f>0</f>
        <v>0</v>
      </c>
      <c r="R100" s="7">
        <f>0</f>
        <v>0</v>
      </c>
      <c r="S100" s="7">
        <f>0</f>
        <v>0</v>
      </c>
      <c r="T100" s="7">
        <f>0</f>
        <v>0</v>
      </c>
    </row>
    <row r="101" spans="1:20" ht="94.5" customHeight="1">
      <c r="A101" s="123" t="s">
        <v>368</v>
      </c>
      <c r="B101" s="180" t="s">
        <v>369</v>
      </c>
      <c r="C101" s="75">
        <f>0</f>
        <v>0</v>
      </c>
      <c r="D101" s="4">
        <f>0</f>
        <v>0</v>
      </c>
      <c r="E101" s="4">
        <f>0</f>
        <v>0</v>
      </c>
      <c r="F101" s="5">
        <f>0</f>
        <v>0</v>
      </c>
      <c r="G101" s="6">
        <f>0</f>
        <v>0</v>
      </c>
      <c r="H101" s="7">
        <f>0</f>
        <v>0</v>
      </c>
      <c r="I101" s="7">
        <f>0</f>
        <v>0</v>
      </c>
      <c r="J101" s="7">
        <f>0</f>
        <v>0</v>
      </c>
      <c r="K101" s="7">
        <f>0</f>
        <v>0</v>
      </c>
      <c r="L101" s="7">
        <f>0</f>
        <v>0</v>
      </c>
      <c r="M101" s="7">
        <f>0</f>
        <v>0</v>
      </c>
      <c r="N101" s="7">
        <f>0</f>
        <v>0</v>
      </c>
      <c r="O101" s="7">
        <f>0</f>
        <v>0</v>
      </c>
      <c r="P101" s="7">
        <f>0</f>
        <v>0</v>
      </c>
      <c r="Q101" s="7">
        <f>0</f>
        <v>0</v>
      </c>
      <c r="R101" s="7">
        <f>0</f>
        <v>0</v>
      </c>
      <c r="S101" s="7">
        <f>0</f>
        <v>0</v>
      </c>
      <c r="T101" s="7">
        <f>0</f>
        <v>0</v>
      </c>
    </row>
    <row r="102" spans="1:20" ht="30.75" customHeight="1">
      <c r="A102" s="123" t="s">
        <v>370</v>
      </c>
      <c r="B102" s="180" t="s">
        <v>371</v>
      </c>
      <c r="C102" s="75">
        <f>0</f>
        <v>0</v>
      </c>
      <c r="D102" s="4">
        <f>0</f>
        <v>0</v>
      </c>
      <c r="E102" s="4">
        <f>0</f>
        <v>0</v>
      </c>
      <c r="F102" s="5">
        <f>0</f>
        <v>0</v>
      </c>
      <c r="G102" s="6">
        <f>0</f>
        <v>0</v>
      </c>
      <c r="H102" s="7">
        <f>0</f>
        <v>0</v>
      </c>
      <c r="I102" s="7">
        <f>0</f>
        <v>0</v>
      </c>
      <c r="J102" s="7">
        <f>0</f>
        <v>0</v>
      </c>
      <c r="K102" s="7">
        <f>0</f>
        <v>0</v>
      </c>
      <c r="L102" s="7">
        <f>0</f>
        <v>0</v>
      </c>
      <c r="M102" s="7">
        <f>0</f>
        <v>0</v>
      </c>
      <c r="N102" s="7">
        <f>0</f>
        <v>0</v>
      </c>
      <c r="O102" s="7">
        <f>0</f>
        <v>0</v>
      </c>
      <c r="P102" s="7">
        <f>0</f>
        <v>0</v>
      </c>
      <c r="Q102" s="7">
        <f>0</f>
        <v>0</v>
      </c>
      <c r="R102" s="7">
        <f>0</f>
        <v>0</v>
      </c>
      <c r="S102" s="7">
        <f>0</f>
        <v>0</v>
      </c>
      <c r="T102" s="7">
        <f>0</f>
        <v>0</v>
      </c>
    </row>
    <row r="103" spans="1:20" ht="29.25" customHeight="1">
      <c r="A103" s="126">
        <v>11</v>
      </c>
      <c r="B103" s="127" t="s">
        <v>330</v>
      </c>
      <c r="C103" s="77" t="s">
        <v>174</v>
      </c>
      <c r="D103" s="8" t="s">
        <v>174</v>
      </c>
      <c r="E103" s="8" t="s">
        <v>174</v>
      </c>
      <c r="F103" s="9" t="s">
        <v>174</v>
      </c>
      <c r="G103" s="10" t="s">
        <v>174</v>
      </c>
      <c r="H103" s="11" t="s">
        <v>174</v>
      </c>
      <c r="I103" s="11" t="s">
        <v>174</v>
      </c>
      <c r="J103" s="11" t="s">
        <v>174</v>
      </c>
      <c r="K103" s="11" t="s">
        <v>174</v>
      </c>
      <c r="L103" s="11" t="s">
        <v>174</v>
      </c>
      <c r="M103" s="11" t="s">
        <v>174</v>
      </c>
      <c r="N103" s="11" t="s">
        <v>174</v>
      </c>
      <c r="O103" s="11" t="s">
        <v>174</v>
      </c>
      <c r="P103" s="11" t="s">
        <v>174</v>
      </c>
      <c r="Q103" s="11" t="s">
        <v>174</v>
      </c>
      <c r="R103" s="11" t="s">
        <v>174</v>
      </c>
      <c r="S103" s="11" t="s">
        <v>174</v>
      </c>
      <c r="T103" s="11" t="s">
        <v>174</v>
      </c>
    </row>
    <row r="104" spans="1:20" ht="29.25" customHeight="1">
      <c r="A104" s="123" t="s">
        <v>186</v>
      </c>
      <c r="B104" s="180" t="s">
        <v>331</v>
      </c>
      <c r="C104" s="75">
        <f>0</f>
        <v>0</v>
      </c>
      <c r="D104" s="4">
        <f>0</f>
        <v>0</v>
      </c>
      <c r="E104" s="4">
        <f>0</f>
        <v>0</v>
      </c>
      <c r="F104" s="5">
        <f>0</f>
        <v>0</v>
      </c>
      <c r="G104" s="6">
        <f>0</f>
        <v>0</v>
      </c>
      <c r="H104" s="7">
        <f>0</f>
        <v>0</v>
      </c>
      <c r="I104" s="7">
        <f>0</f>
        <v>0</v>
      </c>
      <c r="J104" s="7">
        <f>0</f>
        <v>0</v>
      </c>
      <c r="K104" s="7">
        <f>0</f>
        <v>0</v>
      </c>
      <c r="L104" s="7">
        <f>0</f>
        <v>0</v>
      </c>
      <c r="M104" s="7">
        <f>0</f>
        <v>0</v>
      </c>
      <c r="N104" s="7">
        <f>0</f>
        <v>0</v>
      </c>
      <c r="O104" s="7">
        <f>0</f>
        <v>0</v>
      </c>
      <c r="P104" s="7">
        <f>0</f>
        <v>0</v>
      </c>
      <c r="Q104" s="7">
        <f>0</f>
        <v>0</v>
      </c>
      <c r="R104" s="7">
        <f>0</f>
        <v>0</v>
      </c>
      <c r="S104" s="7">
        <f>0</f>
        <v>0</v>
      </c>
      <c r="T104" s="7">
        <f>0</f>
        <v>0</v>
      </c>
    </row>
    <row r="105" spans="1:20" ht="24">
      <c r="A105" s="123" t="s">
        <v>332</v>
      </c>
      <c r="B105" s="124" t="s">
        <v>333</v>
      </c>
      <c r="C105" s="75">
        <f>0</f>
        <v>0</v>
      </c>
      <c r="D105" s="4">
        <f>0</f>
        <v>0</v>
      </c>
      <c r="E105" s="4">
        <f>0</f>
        <v>0</v>
      </c>
      <c r="F105" s="5">
        <f>0</f>
        <v>0</v>
      </c>
      <c r="G105" s="6">
        <f>0</f>
        <v>0</v>
      </c>
      <c r="H105" s="7">
        <f>0</f>
        <v>0</v>
      </c>
      <c r="I105" s="7">
        <f>0</f>
        <v>0</v>
      </c>
      <c r="J105" s="7">
        <f>0</f>
        <v>0</v>
      </c>
      <c r="K105" s="7">
        <f>0</f>
        <v>0</v>
      </c>
      <c r="L105" s="7">
        <f>0</f>
        <v>0</v>
      </c>
      <c r="M105" s="7">
        <f>0</f>
        <v>0</v>
      </c>
      <c r="N105" s="7">
        <f>0</f>
        <v>0</v>
      </c>
      <c r="O105" s="7">
        <f>0</f>
        <v>0</v>
      </c>
      <c r="P105" s="7">
        <f>0</f>
        <v>0</v>
      </c>
      <c r="Q105" s="7">
        <f>0</f>
        <v>0</v>
      </c>
      <c r="R105" s="7">
        <f>0</f>
        <v>0</v>
      </c>
      <c r="S105" s="7">
        <f>0</f>
        <v>0</v>
      </c>
      <c r="T105" s="7">
        <f>0</f>
        <v>0</v>
      </c>
    </row>
    <row r="106" spans="1:20" ht="40.5" customHeight="1">
      <c r="A106" s="123" t="s">
        <v>187</v>
      </c>
      <c r="B106" s="180" t="s">
        <v>334</v>
      </c>
      <c r="C106" s="75">
        <f>0</f>
        <v>0</v>
      </c>
      <c r="D106" s="4">
        <f>0</f>
        <v>0</v>
      </c>
      <c r="E106" s="4">
        <f>0</f>
        <v>0</v>
      </c>
      <c r="F106" s="5">
        <f>0</f>
        <v>0</v>
      </c>
      <c r="G106" s="6">
        <f>0</f>
        <v>0</v>
      </c>
      <c r="H106" s="7">
        <f>0</f>
        <v>0</v>
      </c>
      <c r="I106" s="7">
        <f>0</f>
        <v>0</v>
      </c>
      <c r="J106" s="7">
        <f>0</f>
        <v>0</v>
      </c>
      <c r="K106" s="7">
        <f>0</f>
        <v>0</v>
      </c>
      <c r="L106" s="7">
        <f>0</f>
        <v>0</v>
      </c>
      <c r="M106" s="7">
        <f>0</f>
        <v>0</v>
      </c>
      <c r="N106" s="7">
        <f>0</f>
        <v>0</v>
      </c>
      <c r="O106" s="7">
        <f>0</f>
        <v>0</v>
      </c>
      <c r="P106" s="7">
        <f>0</f>
        <v>0</v>
      </c>
      <c r="Q106" s="7">
        <f>0</f>
        <v>0</v>
      </c>
      <c r="R106" s="7">
        <f>0</f>
        <v>0</v>
      </c>
      <c r="S106" s="7">
        <f>0</f>
        <v>0</v>
      </c>
      <c r="T106" s="7">
        <f>0</f>
        <v>0</v>
      </c>
    </row>
    <row r="107" spans="1:20" ht="36">
      <c r="A107" s="126">
        <v>12</v>
      </c>
      <c r="B107" s="127" t="s">
        <v>335</v>
      </c>
      <c r="C107" s="77" t="s">
        <v>174</v>
      </c>
      <c r="D107" s="8" t="s">
        <v>174</v>
      </c>
      <c r="E107" s="8" t="s">
        <v>174</v>
      </c>
      <c r="F107" s="9" t="s">
        <v>174</v>
      </c>
      <c r="G107" s="10" t="s">
        <v>174</v>
      </c>
      <c r="H107" s="11" t="s">
        <v>174</v>
      </c>
      <c r="I107" s="11" t="s">
        <v>174</v>
      </c>
      <c r="J107" s="11" t="s">
        <v>174</v>
      </c>
      <c r="K107" s="11" t="s">
        <v>174</v>
      </c>
      <c r="L107" s="11" t="s">
        <v>174</v>
      </c>
      <c r="M107" s="11" t="s">
        <v>174</v>
      </c>
      <c r="N107" s="11" t="s">
        <v>174</v>
      </c>
      <c r="O107" s="11" t="s">
        <v>174</v>
      </c>
      <c r="P107" s="11" t="s">
        <v>174</v>
      </c>
      <c r="Q107" s="11" t="s">
        <v>174</v>
      </c>
      <c r="R107" s="11" t="s">
        <v>174</v>
      </c>
      <c r="S107" s="11" t="s">
        <v>174</v>
      </c>
      <c r="T107" s="11" t="s">
        <v>174</v>
      </c>
    </row>
    <row r="108" spans="1:20" ht="36">
      <c r="A108" s="123" t="s">
        <v>191</v>
      </c>
      <c r="B108" s="180" t="s">
        <v>336</v>
      </c>
      <c r="C108" s="75">
        <f>0</f>
        <v>0</v>
      </c>
      <c r="D108" s="4">
        <f>0</f>
        <v>0</v>
      </c>
      <c r="E108" s="4">
        <f>0</f>
        <v>0</v>
      </c>
      <c r="F108" s="5">
        <f>0</f>
        <v>0</v>
      </c>
      <c r="G108" s="6">
        <f>0</f>
        <v>0</v>
      </c>
      <c r="H108" s="7">
        <f>0</f>
        <v>0</v>
      </c>
      <c r="I108" s="7">
        <f>0</f>
        <v>0</v>
      </c>
      <c r="J108" s="7">
        <f>0</f>
        <v>0</v>
      </c>
      <c r="K108" s="7">
        <f>0</f>
        <v>0</v>
      </c>
      <c r="L108" s="7">
        <f>0</f>
        <v>0</v>
      </c>
      <c r="M108" s="7">
        <f>0</f>
        <v>0</v>
      </c>
      <c r="N108" s="7">
        <f>0</f>
        <v>0</v>
      </c>
      <c r="O108" s="7">
        <f>0</f>
        <v>0</v>
      </c>
      <c r="P108" s="7">
        <f>0</f>
        <v>0</v>
      </c>
      <c r="Q108" s="7">
        <f>0</f>
        <v>0</v>
      </c>
      <c r="R108" s="7">
        <f>0</f>
        <v>0</v>
      </c>
      <c r="S108" s="7">
        <f>0</f>
        <v>0</v>
      </c>
      <c r="T108" s="7">
        <f>0</f>
        <v>0</v>
      </c>
    </row>
    <row r="109" spans="1:20" ht="34.5" customHeight="1">
      <c r="A109" s="123" t="s">
        <v>192</v>
      </c>
      <c r="B109" s="180" t="s">
        <v>337</v>
      </c>
      <c r="C109" s="77" t="s">
        <v>174</v>
      </c>
      <c r="D109" s="8" t="s">
        <v>174</v>
      </c>
      <c r="E109" s="8" t="s">
        <v>174</v>
      </c>
      <c r="F109" s="9" t="s">
        <v>174</v>
      </c>
      <c r="G109" s="143">
        <f>0</f>
        <v>0</v>
      </c>
      <c r="H109" s="130">
        <f>0</f>
        <v>0</v>
      </c>
      <c r="I109" s="130">
        <f>0</f>
        <v>0</v>
      </c>
      <c r="J109" s="130">
        <f>0</f>
        <v>0</v>
      </c>
      <c r="K109" s="130">
        <f>0</f>
        <v>0</v>
      </c>
      <c r="L109" s="130">
        <f>0</f>
        <v>0</v>
      </c>
      <c r="M109" s="130">
        <f>0</f>
        <v>0</v>
      </c>
      <c r="N109" s="130">
        <f>0</f>
        <v>0</v>
      </c>
      <c r="O109" s="130">
        <f>0</f>
        <v>0</v>
      </c>
      <c r="P109" s="130">
        <f>0</f>
        <v>0</v>
      </c>
      <c r="Q109" s="130">
        <f>0</f>
        <v>0</v>
      </c>
      <c r="R109" s="130">
        <f>0</f>
        <v>0</v>
      </c>
      <c r="S109" s="130">
        <f>0</f>
        <v>0</v>
      </c>
      <c r="T109" s="130">
        <f>0</f>
        <v>0</v>
      </c>
    </row>
    <row r="110" spans="1:20" ht="35.25" customHeight="1">
      <c r="A110" s="131" t="s">
        <v>193</v>
      </c>
      <c r="B110" s="184" t="s">
        <v>338</v>
      </c>
      <c r="C110" s="83" t="s">
        <v>174</v>
      </c>
      <c r="D110" s="84" t="s">
        <v>174</v>
      </c>
      <c r="E110" s="84" t="s">
        <v>174</v>
      </c>
      <c r="F110" s="85" t="s">
        <v>174</v>
      </c>
      <c r="G110" s="144">
        <f>0</f>
        <v>0</v>
      </c>
      <c r="H110" s="132">
        <f>0</f>
        <v>0</v>
      </c>
      <c r="I110" s="132">
        <f>0</f>
        <v>0</v>
      </c>
      <c r="J110" s="132">
        <f>0</f>
        <v>0</v>
      </c>
      <c r="K110" s="132">
        <f>0</f>
        <v>0</v>
      </c>
      <c r="L110" s="132">
        <f>0</f>
        <v>0</v>
      </c>
      <c r="M110" s="132">
        <f>0</f>
        <v>0</v>
      </c>
      <c r="N110" s="132">
        <f>0</f>
        <v>0</v>
      </c>
      <c r="O110" s="132">
        <f>0</f>
        <v>0</v>
      </c>
      <c r="P110" s="132">
        <f>0</f>
        <v>0</v>
      </c>
      <c r="Q110" s="132">
        <f>0</f>
        <v>0</v>
      </c>
      <c r="R110" s="132">
        <f>0</f>
        <v>0</v>
      </c>
      <c r="S110" s="132">
        <f>0</f>
        <v>0</v>
      </c>
      <c r="T110" s="132">
        <f>0</f>
        <v>0</v>
      </c>
    </row>
    <row r="111" spans="1:20">
      <c r="A111" s="133"/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</row>
    <row r="112" spans="1:20">
      <c r="B112" s="192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</row>
    <row r="113" spans="2:20">
      <c r="B113" s="192"/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2"/>
    </row>
    <row r="114" spans="2:20">
      <c r="B114" s="192"/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  <c r="N114" s="192"/>
      <c r="O114" s="192"/>
      <c r="P114" s="192"/>
      <c r="Q114" s="192"/>
      <c r="R114" s="192"/>
      <c r="S114" s="192"/>
      <c r="T114" s="192"/>
    </row>
    <row r="115" spans="2:20">
      <c r="B115" s="192"/>
      <c r="C115" s="192"/>
      <c r="D115" s="192"/>
      <c r="E115" s="192"/>
      <c r="F115" s="192"/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192"/>
      <c r="R115" s="192"/>
      <c r="S115" s="192"/>
      <c r="T115" s="192"/>
    </row>
  </sheetData>
  <sheetProtection algorithmName="SHA-512" hashValue="dGrmuhCrtZmTvs9TmRgP7N3arCn+kSQAaT8dDPrclZdeh/c+4b01rWGdBAhaEb32wbTLAH6iteIJje6Dm/bWyQ==" saltValue="bn946gUrS4YIHLH49z0UeA==" spinCount="100000" sheet="1" objects="1" scenarios="1" formatCells="0" formatColumns="0" formatRows="0" insertColumns="0" deleteColumns="0"/>
  <mergeCells count="2">
    <mergeCell ref="C2:D2"/>
    <mergeCell ref="A1:T1"/>
  </mergeCells>
  <conditionalFormatting sqref="G57:T58">
    <cfRule type="expression" dxfId="1" priority="14" stopIfTrue="1">
      <formula>LEFT(G57,3)="Nie"</formula>
    </cfRule>
  </conditionalFormatting>
  <conditionalFormatting sqref="G65:T66 G69:T70">
    <cfRule type="cellIs" dxfId="0" priority="13" stopIfTrue="1" operator="equal">
      <formula>"Nie spełniona"</formula>
    </cfRule>
  </conditionalFormatting>
  <pageMargins left="0.11811023622047245" right="0.11811023622047245" top="1.2598425196850394" bottom="1.0629921259842521" header="0.70866141732283472" footer="0.70866141732283472"/>
  <pageSetup paperSize="9" scale="56" orientation="landscape" blackAndWhite="1" horizontalDpi="4294967293" verticalDpi="4294967293" r:id="rId1"/>
  <headerFooter differentOddEven="1" differentFirst="1" alignWithMargins="0">
    <oddFooter>&amp;C&amp;8&amp;P</oddFooter>
    <evenFooter>&amp;C&amp;P</evenFooter>
    <firstHeader>&amp;RZałącznik Nr 1
do uchwały Nr .................
Rady  Powiatu  Otwockiego
z dnia ...............................</firstHeader>
    <firstFooter>&amp;C&amp;P</firstFooter>
  </headerFooter>
  <rowBreaks count="3" manualBreakCount="3">
    <brk id="50" max="19" man="1"/>
    <brk id="78" max="19" man="1"/>
    <brk id="9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11"/>
  <sheetViews>
    <sheetView tabSelected="1" zoomScaleNormal="100" workbookViewId="0">
      <pane ySplit="5" topLeftCell="A6" activePane="bottomLeft" state="frozen"/>
      <selection pane="bottomLeft" activeCell="I65" sqref="I65"/>
    </sheetView>
  </sheetViews>
  <sheetFormatPr defaultRowHeight="12.75"/>
  <cols>
    <col min="1" max="1" width="7.85546875" style="67" customWidth="1"/>
    <col min="2" max="2" width="53" style="12" customWidth="1"/>
    <col min="3" max="3" width="19.42578125" style="14" customWidth="1"/>
    <col min="4" max="5" width="7.42578125" style="67" customWidth="1"/>
    <col min="6" max="6" width="14.7109375" style="12" customWidth="1"/>
    <col min="7" max="7" width="15.28515625" style="12" customWidth="1"/>
    <col min="8" max="8" width="13.7109375" style="12" customWidth="1"/>
    <col min="9" max="9" width="14.5703125" style="12" customWidth="1"/>
    <col min="10" max="10" width="13.7109375" style="12" customWidth="1"/>
    <col min="11" max="11" width="13.5703125" style="12" customWidth="1"/>
    <col min="12" max="12" width="14.28515625" style="12" customWidth="1"/>
    <col min="13" max="13" width="13.42578125" style="12" customWidth="1"/>
    <col min="14" max="14" width="13.5703125" style="12" customWidth="1"/>
    <col min="15" max="15" width="14.7109375" style="12" customWidth="1"/>
    <col min="16" max="16" width="14.42578125" style="15" customWidth="1"/>
    <col min="17" max="17" width="23.5703125" style="52" customWidth="1"/>
    <col min="18" max="214" width="9.140625" style="52"/>
    <col min="215" max="244" width="9.140625" style="12"/>
    <col min="245" max="245" width="1" style="12" customWidth="1"/>
    <col min="246" max="246" width="39.140625" style="12" customWidth="1"/>
    <col min="247" max="247" width="21.42578125" style="12" customWidth="1"/>
    <col min="248" max="248" width="11.28515625" style="12" customWidth="1"/>
    <col min="249" max="249" width="9.5703125" style="12" customWidth="1"/>
    <col min="250" max="250" width="13.5703125" style="12" customWidth="1"/>
    <col min="251" max="260" width="12.140625" style="12" customWidth="1"/>
    <col min="261" max="270" width="0" style="12" hidden="1" customWidth="1"/>
    <col min="271" max="271" width="14.140625" style="12" customWidth="1"/>
    <col min="272" max="500" width="9.140625" style="12"/>
    <col min="501" max="501" width="1" style="12" customWidth="1"/>
    <col min="502" max="502" width="39.140625" style="12" customWidth="1"/>
    <col min="503" max="503" width="21.42578125" style="12" customWidth="1"/>
    <col min="504" max="504" width="11.28515625" style="12" customWidth="1"/>
    <col min="505" max="505" width="9.5703125" style="12" customWidth="1"/>
    <col min="506" max="506" width="13.5703125" style="12" customWidth="1"/>
    <col min="507" max="516" width="12.140625" style="12" customWidth="1"/>
    <col min="517" max="526" width="0" style="12" hidden="1" customWidth="1"/>
    <col min="527" max="527" width="14.140625" style="12" customWidth="1"/>
    <col min="528" max="756" width="9.140625" style="12"/>
    <col min="757" max="757" width="1" style="12" customWidth="1"/>
    <col min="758" max="758" width="39.140625" style="12" customWidth="1"/>
    <col min="759" max="759" width="21.42578125" style="12" customWidth="1"/>
    <col min="760" max="760" width="11.28515625" style="12" customWidth="1"/>
    <col min="761" max="761" width="9.5703125" style="12" customWidth="1"/>
    <col min="762" max="762" width="13.5703125" style="12" customWidth="1"/>
    <col min="763" max="772" width="12.140625" style="12" customWidth="1"/>
    <col min="773" max="782" width="0" style="12" hidden="1" customWidth="1"/>
    <col min="783" max="783" width="14.140625" style="12" customWidth="1"/>
    <col min="784" max="1012" width="9.140625" style="12"/>
    <col min="1013" max="1013" width="1" style="12" customWidth="1"/>
    <col min="1014" max="1014" width="39.140625" style="12" customWidth="1"/>
    <col min="1015" max="1015" width="21.42578125" style="12" customWidth="1"/>
    <col min="1016" max="1016" width="11.28515625" style="12" customWidth="1"/>
    <col min="1017" max="1017" width="9.5703125" style="12" customWidth="1"/>
    <col min="1018" max="1018" width="13.5703125" style="12" customWidth="1"/>
    <col min="1019" max="1028" width="12.140625" style="12" customWidth="1"/>
    <col min="1029" max="1038" width="0" style="12" hidden="1" customWidth="1"/>
    <col min="1039" max="1039" width="14.140625" style="12" customWidth="1"/>
    <col min="1040" max="1268" width="9.140625" style="12"/>
    <col min="1269" max="1269" width="1" style="12" customWidth="1"/>
    <col min="1270" max="1270" width="39.140625" style="12" customWidth="1"/>
    <col min="1271" max="1271" width="21.42578125" style="12" customWidth="1"/>
    <col min="1272" max="1272" width="11.28515625" style="12" customWidth="1"/>
    <col min="1273" max="1273" width="9.5703125" style="12" customWidth="1"/>
    <col min="1274" max="1274" width="13.5703125" style="12" customWidth="1"/>
    <col min="1275" max="1284" width="12.140625" style="12" customWidth="1"/>
    <col min="1285" max="1294" width="0" style="12" hidden="1" customWidth="1"/>
    <col min="1295" max="1295" width="14.140625" style="12" customWidth="1"/>
    <col min="1296" max="1524" width="9.140625" style="12"/>
    <col min="1525" max="1525" width="1" style="12" customWidth="1"/>
    <col min="1526" max="1526" width="39.140625" style="12" customWidth="1"/>
    <col min="1527" max="1527" width="21.42578125" style="12" customWidth="1"/>
    <col min="1528" max="1528" width="11.28515625" style="12" customWidth="1"/>
    <col min="1529" max="1529" width="9.5703125" style="12" customWidth="1"/>
    <col min="1530" max="1530" width="13.5703125" style="12" customWidth="1"/>
    <col min="1531" max="1540" width="12.140625" style="12" customWidth="1"/>
    <col min="1541" max="1550" width="0" style="12" hidden="1" customWidth="1"/>
    <col min="1551" max="1551" width="14.140625" style="12" customWidth="1"/>
    <col min="1552" max="1780" width="9.140625" style="12"/>
    <col min="1781" max="1781" width="1" style="12" customWidth="1"/>
    <col min="1782" max="1782" width="39.140625" style="12" customWidth="1"/>
    <col min="1783" max="1783" width="21.42578125" style="12" customWidth="1"/>
    <col min="1784" max="1784" width="11.28515625" style="12" customWidth="1"/>
    <col min="1785" max="1785" width="9.5703125" style="12" customWidth="1"/>
    <col min="1786" max="1786" width="13.5703125" style="12" customWidth="1"/>
    <col min="1787" max="1796" width="12.140625" style="12" customWidth="1"/>
    <col min="1797" max="1806" width="0" style="12" hidden="1" customWidth="1"/>
    <col min="1807" max="1807" width="14.140625" style="12" customWidth="1"/>
    <col min="1808" max="2036" width="9.140625" style="12"/>
    <col min="2037" max="2037" width="1" style="12" customWidth="1"/>
    <col min="2038" max="2038" width="39.140625" style="12" customWidth="1"/>
    <col min="2039" max="2039" width="21.42578125" style="12" customWidth="1"/>
    <col min="2040" max="2040" width="11.28515625" style="12" customWidth="1"/>
    <col min="2041" max="2041" width="9.5703125" style="12" customWidth="1"/>
    <col min="2042" max="2042" width="13.5703125" style="12" customWidth="1"/>
    <col min="2043" max="2052" width="12.140625" style="12" customWidth="1"/>
    <col min="2053" max="2062" width="0" style="12" hidden="1" customWidth="1"/>
    <col min="2063" max="2063" width="14.140625" style="12" customWidth="1"/>
    <col min="2064" max="2292" width="9.140625" style="12"/>
    <col min="2293" max="2293" width="1" style="12" customWidth="1"/>
    <col min="2294" max="2294" width="39.140625" style="12" customWidth="1"/>
    <col min="2295" max="2295" width="21.42578125" style="12" customWidth="1"/>
    <col min="2296" max="2296" width="11.28515625" style="12" customWidth="1"/>
    <col min="2297" max="2297" width="9.5703125" style="12" customWidth="1"/>
    <col min="2298" max="2298" width="13.5703125" style="12" customWidth="1"/>
    <col min="2299" max="2308" width="12.140625" style="12" customWidth="1"/>
    <col min="2309" max="2318" width="0" style="12" hidden="1" customWidth="1"/>
    <col min="2319" max="2319" width="14.140625" style="12" customWidth="1"/>
    <col min="2320" max="2548" width="9.140625" style="12"/>
    <col min="2549" max="2549" width="1" style="12" customWidth="1"/>
    <col min="2550" max="2550" width="39.140625" style="12" customWidth="1"/>
    <col min="2551" max="2551" width="21.42578125" style="12" customWidth="1"/>
    <col min="2552" max="2552" width="11.28515625" style="12" customWidth="1"/>
    <col min="2553" max="2553" width="9.5703125" style="12" customWidth="1"/>
    <col min="2554" max="2554" width="13.5703125" style="12" customWidth="1"/>
    <col min="2555" max="2564" width="12.140625" style="12" customWidth="1"/>
    <col min="2565" max="2574" width="0" style="12" hidden="1" customWidth="1"/>
    <col min="2575" max="2575" width="14.140625" style="12" customWidth="1"/>
    <col min="2576" max="2804" width="9.140625" style="12"/>
    <col min="2805" max="2805" width="1" style="12" customWidth="1"/>
    <col min="2806" max="2806" width="39.140625" style="12" customWidth="1"/>
    <col min="2807" max="2807" width="21.42578125" style="12" customWidth="1"/>
    <col min="2808" max="2808" width="11.28515625" style="12" customWidth="1"/>
    <col min="2809" max="2809" width="9.5703125" style="12" customWidth="1"/>
    <col min="2810" max="2810" width="13.5703125" style="12" customWidth="1"/>
    <col min="2811" max="2820" width="12.140625" style="12" customWidth="1"/>
    <col min="2821" max="2830" width="0" style="12" hidden="1" customWidth="1"/>
    <col min="2831" max="2831" width="14.140625" style="12" customWidth="1"/>
    <col min="2832" max="3060" width="9.140625" style="12"/>
    <col min="3061" max="3061" width="1" style="12" customWidth="1"/>
    <col min="3062" max="3062" width="39.140625" style="12" customWidth="1"/>
    <col min="3063" max="3063" width="21.42578125" style="12" customWidth="1"/>
    <col min="3064" max="3064" width="11.28515625" style="12" customWidth="1"/>
    <col min="3065" max="3065" width="9.5703125" style="12" customWidth="1"/>
    <col min="3066" max="3066" width="13.5703125" style="12" customWidth="1"/>
    <col min="3067" max="3076" width="12.140625" style="12" customWidth="1"/>
    <col min="3077" max="3086" width="0" style="12" hidden="1" customWidth="1"/>
    <col min="3087" max="3087" width="14.140625" style="12" customWidth="1"/>
    <col min="3088" max="3316" width="9.140625" style="12"/>
    <col min="3317" max="3317" width="1" style="12" customWidth="1"/>
    <col min="3318" max="3318" width="39.140625" style="12" customWidth="1"/>
    <col min="3319" max="3319" width="21.42578125" style="12" customWidth="1"/>
    <col min="3320" max="3320" width="11.28515625" style="12" customWidth="1"/>
    <col min="3321" max="3321" width="9.5703125" style="12" customWidth="1"/>
    <col min="3322" max="3322" width="13.5703125" style="12" customWidth="1"/>
    <col min="3323" max="3332" width="12.140625" style="12" customWidth="1"/>
    <col min="3333" max="3342" width="0" style="12" hidden="1" customWidth="1"/>
    <col min="3343" max="3343" width="14.140625" style="12" customWidth="1"/>
    <col min="3344" max="3572" width="9.140625" style="12"/>
    <col min="3573" max="3573" width="1" style="12" customWidth="1"/>
    <col min="3574" max="3574" width="39.140625" style="12" customWidth="1"/>
    <col min="3575" max="3575" width="21.42578125" style="12" customWidth="1"/>
    <col min="3576" max="3576" width="11.28515625" style="12" customWidth="1"/>
    <col min="3577" max="3577" width="9.5703125" style="12" customWidth="1"/>
    <col min="3578" max="3578" width="13.5703125" style="12" customWidth="1"/>
    <col min="3579" max="3588" width="12.140625" style="12" customWidth="1"/>
    <col min="3589" max="3598" width="0" style="12" hidden="1" customWidth="1"/>
    <col min="3599" max="3599" width="14.140625" style="12" customWidth="1"/>
    <col min="3600" max="3828" width="9.140625" style="12"/>
    <col min="3829" max="3829" width="1" style="12" customWidth="1"/>
    <col min="3830" max="3830" width="39.140625" style="12" customWidth="1"/>
    <col min="3831" max="3831" width="21.42578125" style="12" customWidth="1"/>
    <col min="3832" max="3832" width="11.28515625" style="12" customWidth="1"/>
    <col min="3833" max="3833" width="9.5703125" style="12" customWidth="1"/>
    <col min="3834" max="3834" width="13.5703125" style="12" customWidth="1"/>
    <col min="3835" max="3844" width="12.140625" style="12" customWidth="1"/>
    <col min="3845" max="3854" width="0" style="12" hidden="1" customWidth="1"/>
    <col min="3855" max="3855" width="14.140625" style="12" customWidth="1"/>
    <col min="3856" max="4084" width="9.140625" style="12"/>
    <col min="4085" max="4085" width="1" style="12" customWidth="1"/>
    <col min="4086" max="4086" width="39.140625" style="12" customWidth="1"/>
    <col min="4087" max="4087" width="21.42578125" style="12" customWidth="1"/>
    <col min="4088" max="4088" width="11.28515625" style="12" customWidth="1"/>
    <col min="4089" max="4089" width="9.5703125" style="12" customWidth="1"/>
    <col min="4090" max="4090" width="13.5703125" style="12" customWidth="1"/>
    <col min="4091" max="4100" width="12.140625" style="12" customWidth="1"/>
    <col min="4101" max="4110" width="0" style="12" hidden="1" customWidth="1"/>
    <col min="4111" max="4111" width="14.140625" style="12" customWidth="1"/>
    <col min="4112" max="4340" width="9.140625" style="12"/>
    <col min="4341" max="4341" width="1" style="12" customWidth="1"/>
    <col min="4342" max="4342" width="39.140625" style="12" customWidth="1"/>
    <col min="4343" max="4343" width="21.42578125" style="12" customWidth="1"/>
    <col min="4344" max="4344" width="11.28515625" style="12" customWidth="1"/>
    <col min="4345" max="4345" width="9.5703125" style="12" customWidth="1"/>
    <col min="4346" max="4346" width="13.5703125" style="12" customWidth="1"/>
    <col min="4347" max="4356" width="12.140625" style="12" customWidth="1"/>
    <col min="4357" max="4366" width="0" style="12" hidden="1" customWidth="1"/>
    <col min="4367" max="4367" width="14.140625" style="12" customWidth="1"/>
    <col min="4368" max="4596" width="9.140625" style="12"/>
    <col min="4597" max="4597" width="1" style="12" customWidth="1"/>
    <col min="4598" max="4598" width="39.140625" style="12" customWidth="1"/>
    <col min="4599" max="4599" width="21.42578125" style="12" customWidth="1"/>
    <col min="4600" max="4600" width="11.28515625" style="12" customWidth="1"/>
    <col min="4601" max="4601" width="9.5703125" style="12" customWidth="1"/>
    <col min="4602" max="4602" width="13.5703125" style="12" customWidth="1"/>
    <col min="4603" max="4612" width="12.140625" style="12" customWidth="1"/>
    <col min="4613" max="4622" width="0" style="12" hidden="1" customWidth="1"/>
    <col min="4623" max="4623" width="14.140625" style="12" customWidth="1"/>
    <col min="4624" max="4852" width="9.140625" style="12"/>
    <col min="4853" max="4853" width="1" style="12" customWidth="1"/>
    <col min="4854" max="4854" width="39.140625" style="12" customWidth="1"/>
    <col min="4855" max="4855" width="21.42578125" style="12" customWidth="1"/>
    <col min="4856" max="4856" width="11.28515625" style="12" customWidth="1"/>
    <col min="4857" max="4857" width="9.5703125" style="12" customWidth="1"/>
    <col min="4858" max="4858" width="13.5703125" style="12" customWidth="1"/>
    <col min="4859" max="4868" width="12.140625" style="12" customWidth="1"/>
    <col min="4869" max="4878" width="0" style="12" hidden="1" customWidth="1"/>
    <col min="4879" max="4879" width="14.140625" style="12" customWidth="1"/>
    <col min="4880" max="5108" width="9.140625" style="12"/>
    <col min="5109" max="5109" width="1" style="12" customWidth="1"/>
    <col min="5110" max="5110" width="39.140625" style="12" customWidth="1"/>
    <col min="5111" max="5111" width="21.42578125" style="12" customWidth="1"/>
    <col min="5112" max="5112" width="11.28515625" style="12" customWidth="1"/>
    <col min="5113" max="5113" width="9.5703125" style="12" customWidth="1"/>
    <col min="5114" max="5114" width="13.5703125" style="12" customWidth="1"/>
    <col min="5115" max="5124" width="12.140625" style="12" customWidth="1"/>
    <col min="5125" max="5134" width="0" style="12" hidden="1" customWidth="1"/>
    <col min="5135" max="5135" width="14.140625" style="12" customWidth="1"/>
    <col min="5136" max="5364" width="9.140625" style="12"/>
    <col min="5365" max="5365" width="1" style="12" customWidth="1"/>
    <col min="5366" max="5366" width="39.140625" style="12" customWidth="1"/>
    <col min="5367" max="5367" width="21.42578125" style="12" customWidth="1"/>
    <col min="5368" max="5368" width="11.28515625" style="12" customWidth="1"/>
    <col min="5369" max="5369" width="9.5703125" style="12" customWidth="1"/>
    <col min="5370" max="5370" width="13.5703125" style="12" customWidth="1"/>
    <col min="5371" max="5380" width="12.140625" style="12" customWidth="1"/>
    <col min="5381" max="5390" width="0" style="12" hidden="1" customWidth="1"/>
    <col min="5391" max="5391" width="14.140625" style="12" customWidth="1"/>
    <col min="5392" max="5620" width="9.140625" style="12"/>
    <col min="5621" max="5621" width="1" style="12" customWidth="1"/>
    <col min="5622" max="5622" width="39.140625" style="12" customWidth="1"/>
    <col min="5623" max="5623" width="21.42578125" style="12" customWidth="1"/>
    <col min="5624" max="5624" width="11.28515625" style="12" customWidth="1"/>
    <col min="5625" max="5625" width="9.5703125" style="12" customWidth="1"/>
    <col min="5626" max="5626" width="13.5703125" style="12" customWidth="1"/>
    <col min="5627" max="5636" width="12.140625" style="12" customWidth="1"/>
    <col min="5637" max="5646" width="0" style="12" hidden="1" customWidth="1"/>
    <col min="5647" max="5647" width="14.140625" style="12" customWidth="1"/>
    <col min="5648" max="5876" width="9.140625" style="12"/>
    <col min="5877" max="5877" width="1" style="12" customWidth="1"/>
    <col min="5878" max="5878" width="39.140625" style="12" customWidth="1"/>
    <col min="5879" max="5879" width="21.42578125" style="12" customWidth="1"/>
    <col min="5880" max="5880" width="11.28515625" style="12" customWidth="1"/>
    <col min="5881" max="5881" width="9.5703125" style="12" customWidth="1"/>
    <col min="5882" max="5882" width="13.5703125" style="12" customWidth="1"/>
    <col min="5883" max="5892" width="12.140625" style="12" customWidth="1"/>
    <col min="5893" max="5902" width="0" style="12" hidden="1" customWidth="1"/>
    <col min="5903" max="5903" width="14.140625" style="12" customWidth="1"/>
    <col min="5904" max="6132" width="9.140625" style="12"/>
    <col min="6133" max="6133" width="1" style="12" customWidth="1"/>
    <col min="6134" max="6134" width="39.140625" style="12" customWidth="1"/>
    <col min="6135" max="6135" width="21.42578125" style="12" customWidth="1"/>
    <col min="6136" max="6136" width="11.28515625" style="12" customWidth="1"/>
    <col min="6137" max="6137" width="9.5703125" style="12" customWidth="1"/>
    <col min="6138" max="6138" width="13.5703125" style="12" customWidth="1"/>
    <col min="6139" max="6148" width="12.140625" style="12" customWidth="1"/>
    <col min="6149" max="6158" width="0" style="12" hidden="1" customWidth="1"/>
    <col min="6159" max="6159" width="14.140625" style="12" customWidth="1"/>
    <col min="6160" max="6388" width="9.140625" style="12"/>
    <col min="6389" max="6389" width="1" style="12" customWidth="1"/>
    <col min="6390" max="6390" width="39.140625" style="12" customWidth="1"/>
    <col min="6391" max="6391" width="21.42578125" style="12" customWidth="1"/>
    <col min="6392" max="6392" width="11.28515625" style="12" customWidth="1"/>
    <col min="6393" max="6393" width="9.5703125" style="12" customWidth="1"/>
    <col min="6394" max="6394" width="13.5703125" style="12" customWidth="1"/>
    <col min="6395" max="6404" width="12.140625" style="12" customWidth="1"/>
    <col min="6405" max="6414" width="0" style="12" hidden="1" customWidth="1"/>
    <col min="6415" max="6415" width="14.140625" style="12" customWidth="1"/>
    <col min="6416" max="6644" width="9.140625" style="12"/>
    <col min="6645" max="6645" width="1" style="12" customWidth="1"/>
    <col min="6646" max="6646" width="39.140625" style="12" customWidth="1"/>
    <col min="6647" max="6647" width="21.42578125" style="12" customWidth="1"/>
    <col min="6648" max="6648" width="11.28515625" style="12" customWidth="1"/>
    <col min="6649" max="6649" width="9.5703125" style="12" customWidth="1"/>
    <col min="6650" max="6650" width="13.5703125" style="12" customWidth="1"/>
    <col min="6651" max="6660" width="12.140625" style="12" customWidth="1"/>
    <col min="6661" max="6670" width="0" style="12" hidden="1" customWidth="1"/>
    <col min="6671" max="6671" width="14.140625" style="12" customWidth="1"/>
    <col min="6672" max="6900" width="9.140625" style="12"/>
    <col min="6901" max="6901" width="1" style="12" customWidth="1"/>
    <col min="6902" max="6902" width="39.140625" style="12" customWidth="1"/>
    <col min="6903" max="6903" width="21.42578125" style="12" customWidth="1"/>
    <col min="6904" max="6904" width="11.28515625" style="12" customWidth="1"/>
    <col min="6905" max="6905" width="9.5703125" style="12" customWidth="1"/>
    <col min="6906" max="6906" width="13.5703125" style="12" customWidth="1"/>
    <col min="6907" max="6916" width="12.140625" style="12" customWidth="1"/>
    <col min="6917" max="6926" width="0" style="12" hidden="1" customWidth="1"/>
    <col min="6927" max="6927" width="14.140625" style="12" customWidth="1"/>
    <col min="6928" max="7156" width="9.140625" style="12"/>
    <col min="7157" max="7157" width="1" style="12" customWidth="1"/>
    <col min="7158" max="7158" width="39.140625" style="12" customWidth="1"/>
    <col min="7159" max="7159" width="21.42578125" style="12" customWidth="1"/>
    <col min="7160" max="7160" width="11.28515625" style="12" customWidth="1"/>
    <col min="7161" max="7161" width="9.5703125" style="12" customWidth="1"/>
    <col min="7162" max="7162" width="13.5703125" style="12" customWidth="1"/>
    <col min="7163" max="7172" width="12.140625" style="12" customWidth="1"/>
    <col min="7173" max="7182" width="0" style="12" hidden="1" customWidth="1"/>
    <col min="7183" max="7183" width="14.140625" style="12" customWidth="1"/>
    <col min="7184" max="7412" width="9.140625" style="12"/>
    <col min="7413" max="7413" width="1" style="12" customWidth="1"/>
    <col min="7414" max="7414" width="39.140625" style="12" customWidth="1"/>
    <col min="7415" max="7415" width="21.42578125" style="12" customWidth="1"/>
    <col min="7416" max="7416" width="11.28515625" style="12" customWidth="1"/>
    <col min="7417" max="7417" width="9.5703125" style="12" customWidth="1"/>
    <col min="7418" max="7418" width="13.5703125" style="12" customWidth="1"/>
    <col min="7419" max="7428" width="12.140625" style="12" customWidth="1"/>
    <col min="7429" max="7438" width="0" style="12" hidden="1" customWidth="1"/>
    <col min="7439" max="7439" width="14.140625" style="12" customWidth="1"/>
    <col min="7440" max="7668" width="9.140625" style="12"/>
    <col min="7669" max="7669" width="1" style="12" customWidth="1"/>
    <col min="7670" max="7670" width="39.140625" style="12" customWidth="1"/>
    <col min="7671" max="7671" width="21.42578125" style="12" customWidth="1"/>
    <col min="7672" max="7672" width="11.28515625" style="12" customWidth="1"/>
    <col min="7673" max="7673" width="9.5703125" style="12" customWidth="1"/>
    <col min="7674" max="7674" width="13.5703125" style="12" customWidth="1"/>
    <col min="7675" max="7684" width="12.140625" style="12" customWidth="1"/>
    <col min="7685" max="7694" width="0" style="12" hidden="1" customWidth="1"/>
    <col min="7695" max="7695" width="14.140625" style="12" customWidth="1"/>
    <col min="7696" max="7924" width="9.140625" style="12"/>
    <col min="7925" max="7925" width="1" style="12" customWidth="1"/>
    <col min="7926" max="7926" width="39.140625" style="12" customWidth="1"/>
    <col min="7927" max="7927" width="21.42578125" style="12" customWidth="1"/>
    <col min="7928" max="7928" width="11.28515625" style="12" customWidth="1"/>
    <col min="7929" max="7929" width="9.5703125" style="12" customWidth="1"/>
    <col min="7930" max="7930" width="13.5703125" style="12" customWidth="1"/>
    <col min="7931" max="7940" width="12.140625" style="12" customWidth="1"/>
    <col min="7941" max="7950" width="0" style="12" hidden="1" customWidth="1"/>
    <col min="7951" max="7951" width="14.140625" style="12" customWidth="1"/>
    <col min="7952" max="8180" width="9.140625" style="12"/>
    <col min="8181" max="8181" width="1" style="12" customWidth="1"/>
    <col min="8182" max="8182" width="39.140625" style="12" customWidth="1"/>
    <col min="8183" max="8183" width="21.42578125" style="12" customWidth="1"/>
    <col min="8184" max="8184" width="11.28515625" style="12" customWidth="1"/>
    <col min="8185" max="8185" width="9.5703125" style="12" customWidth="1"/>
    <col min="8186" max="8186" width="13.5703125" style="12" customWidth="1"/>
    <col min="8187" max="8196" width="12.140625" style="12" customWidth="1"/>
    <col min="8197" max="8206" width="0" style="12" hidden="1" customWidth="1"/>
    <col min="8207" max="8207" width="14.140625" style="12" customWidth="1"/>
    <col min="8208" max="8436" width="9.140625" style="12"/>
    <col min="8437" max="8437" width="1" style="12" customWidth="1"/>
    <col min="8438" max="8438" width="39.140625" style="12" customWidth="1"/>
    <col min="8439" max="8439" width="21.42578125" style="12" customWidth="1"/>
    <col min="8440" max="8440" width="11.28515625" style="12" customWidth="1"/>
    <col min="8441" max="8441" width="9.5703125" style="12" customWidth="1"/>
    <col min="8442" max="8442" width="13.5703125" style="12" customWidth="1"/>
    <col min="8443" max="8452" width="12.140625" style="12" customWidth="1"/>
    <col min="8453" max="8462" width="0" style="12" hidden="1" customWidth="1"/>
    <col min="8463" max="8463" width="14.140625" style="12" customWidth="1"/>
    <col min="8464" max="8692" width="9.140625" style="12"/>
    <col min="8693" max="8693" width="1" style="12" customWidth="1"/>
    <col min="8694" max="8694" width="39.140625" style="12" customWidth="1"/>
    <col min="8695" max="8695" width="21.42578125" style="12" customWidth="1"/>
    <col min="8696" max="8696" width="11.28515625" style="12" customWidth="1"/>
    <col min="8697" max="8697" width="9.5703125" style="12" customWidth="1"/>
    <col min="8698" max="8698" width="13.5703125" style="12" customWidth="1"/>
    <col min="8699" max="8708" width="12.140625" style="12" customWidth="1"/>
    <col min="8709" max="8718" width="0" style="12" hidden="1" customWidth="1"/>
    <col min="8719" max="8719" width="14.140625" style="12" customWidth="1"/>
    <col min="8720" max="8948" width="9.140625" style="12"/>
    <col min="8949" max="8949" width="1" style="12" customWidth="1"/>
    <col min="8950" max="8950" width="39.140625" style="12" customWidth="1"/>
    <col min="8951" max="8951" width="21.42578125" style="12" customWidth="1"/>
    <col min="8952" max="8952" width="11.28515625" style="12" customWidth="1"/>
    <col min="8953" max="8953" width="9.5703125" style="12" customWidth="1"/>
    <col min="8954" max="8954" width="13.5703125" style="12" customWidth="1"/>
    <col min="8955" max="8964" width="12.140625" style="12" customWidth="1"/>
    <col min="8965" max="8974" width="0" style="12" hidden="1" customWidth="1"/>
    <col min="8975" max="8975" width="14.140625" style="12" customWidth="1"/>
    <col min="8976" max="9204" width="9.140625" style="12"/>
    <col min="9205" max="9205" width="1" style="12" customWidth="1"/>
    <col min="9206" max="9206" width="39.140625" style="12" customWidth="1"/>
    <col min="9207" max="9207" width="21.42578125" style="12" customWidth="1"/>
    <col min="9208" max="9208" width="11.28515625" style="12" customWidth="1"/>
    <col min="9209" max="9209" width="9.5703125" style="12" customWidth="1"/>
    <col min="9210" max="9210" width="13.5703125" style="12" customWidth="1"/>
    <col min="9211" max="9220" width="12.140625" style="12" customWidth="1"/>
    <col min="9221" max="9230" width="0" style="12" hidden="1" customWidth="1"/>
    <col min="9231" max="9231" width="14.140625" style="12" customWidth="1"/>
    <col min="9232" max="9460" width="9.140625" style="12"/>
    <col min="9461" max="9461" width="1" style="12" customWidth="1"/>
    <col min="9462" max="9462" width="39.140625" style="12" customWidth="1"/>
    <col min="9463" max="9463" width="21.42578125" style="12" customWidth="1"/>
    <col min="9464" max="9464" width="11.28515625" style="12" customWidth="1"/>
    <col min="9465" max="9465" width="9.5703125" style="12" customWidth="1"/>
    <col min="9466" max="9466" width="13.5703125" style="12" customWidth="1"/>
    <col min="9467" max="9476" width="12.140625" style="12" customWidth="1"/>
    <col min="9477" max="9486" width="0" style="12" hidden="1" customWidth="1"/>
    <col min="9487" max="9487" width="14.140625" style="12" customWidth="1"/>
    <col min="9488" max="9716" width="9.140625" style="12"/>
    <col min="9717" max="9717" width="1" style="12" customWidth="1"/>
    <col min="9718" max="9718" width="39.140625" style="12" customWidth="1"/>
    <col min="9719" max="9719" width="21.42578125" style="12" customWidth="1"/>
    <col min="9720" max="9720" width="11.28515625" style="12" customWidth="1"/>
    <col min="9721" max="9721" width="9.5703125" style="12" customWidth="1"/>
    <col min="9722" max="9722" width="13.5703125" style="12" customWidth="1"/>
    <col min="9723" max="9732" width="12.140625" style="12" customWidth="1"/>
    <col min="9733" max="9742" width="0" style="12" hidden="1" customWidth="1"/>
    <col min="9743" max="9743" width="14.140625" style="12" customWidth="1"/>
    <col min="9744" max="9972" width="9.140625" style="12"/>
    <col min="9973" max="9973" width="1" style="12" customWidth="1"/>
    <col min="9974" max="9974" width="39.140625" style="12" customWidth="1"/>
    <col min="9975" max="9975" width="21.42578125" style="12" customWidth="1"/>
    <col min="9976" max="9976" width="11.28515625" style="12" customWidth="1"/>
    <col min="9977" max="9977" width="9.5703125" style="12" customWidth="1"/>
    <col min="9978" max="9978" width="13.5703125" style="12" customWidth="1"/>
    <col min="9979" max="9988" width="12.140625" style="12" customWidth="1"/>
    <col min="9989" max="9998" width="0" style="12" hidden="1" customWidth="1"/>
    <col min="9999" max="9999" width="14.140625" style="12" customWidth="1"/>
    <col min="10000" max="10228" width="9.140625" style="12"/>
    <col min="10229" max="10229" width="1" style="12" customWidth="1"/>
    <col min="10230" max="10230" width="39.140625" style="12" customWidth="1"/>
    <col min="10231" max="10231" width="21.42578125" style="12" customWidth="1"/>
    <col min="10232" max="10232" width="11.28515625" style="12" customWidth="1"/>
    <col min="10233" max="10233" width="9.5703125" style="12" customWidth="1"/>
    <col min="10234" max="10234" width="13.5703125" style="12" customWidth="1"/>
    <col min="10235" max="10244" width="12.140625" style="12" customWidth="1"/>
    <col min="10245" max="10254" width="0" style="12" hidden="1" customWidth="1"/>
    <col min="10255" max="10255" width="14.140625" style="12" customWidth="1"/>
    <col min="10256" max="10484" width="9.140625" style="12"/>
    <col min="10485" max="10485" width="1" style="12" customWidth="1"/>
    <col min="10486" max="10486" width="39.140625" style="12" customWidth="1"/>
    <col min="10487" max="10487" width="21.42578125" style="12" customWidth="1"/>
    <col min="10488" max="10488" width="11.28515625" style="12" customWidth="1"/>
    <col min="10489" max="10489" width="9.5703125" style="12" customWidth="1"/>
    <col min="10490" max="10490" width="13.5703125" style="12" customWidth="1"/>
    <col min="10491" max="10500" width="12.140625" style="12" customWidth="1"/>
    <col min="10501" max="10510" width="0" style="12" hidden="1" customWidth="1"/>
    <col min="10511" max="10511" width="14.140625" style="12" customWidth="1"/>
    <col min="10512" max="10740" width="9.140625" style="12"/>
    <col min="10741" max="10741" width="1" style="12" customWidth="1"/>
    <col min="10742" max="10742" width="39.140625" style="12" customWidth="1"/>
    <col min="10743" max="10743" width="21.42578125" style="12" customWidth="1"/>
    <col min="10744" max="10744" width="11.28515625" style="12" customWidth="1"/>
    <col min="10745" max="10745" width="9.5703125" style="12" customWidth="1"/>
    <col min="10746" max="10746" width="13.5703125" style="12" customWidth="1"/>
    <col min="10747" max="10756" width="12.140625" style="12" customWidth="1"/>
    <col min="10757" max="10766" width="0" style="12" hidden="1" customWidth="1"/>
    <col min="10767" max="10767" width="14.140625" style="12" customWidth="1"/>
    <col min="10768" max="10996" width="9.140625" style="12"/>
    <col min="10997" max="10997" width="1" style="12" customWidth="1"/>
    <col min="10998" max="10998" width="39.140625" style="12" customWidth="1"/>
    <col min="10999" max="10999" width="21.42578125" style="12" customWidth="1"/>
    <col min="11000" max="11000" width="11.28515625" style="12" customWidth="1"/>
    <col min="11001" max="11001" width="9.5703125" style="12" customWidth="1"/>
    <col min="11002" max="11002" width="13.5703125" style="12" customWidth="1"/>
    <col min="11003" max="11012" width="12.140625" style="12" customWidth="1"/>
    <col min="11013" max="11022" width="0" style="12" hidden="1" customWidth="1"/>
    <col min="11023" max="11023" width="14.140625" style="12" customWidth="1"/>
    <col min="11024" max="11252" width="9.140625" style="12"/>
    <col min="11253" max="11253" width="1" style="12" customWidth="1"/>
    <col min="11254" max="11254" width="39.140625" style="12" customWidth="1"/>
    <col min="11255" max="11255" width="21.42578125" style="12" customWidth="1"/>
    <col min="11256" max="11256" width="11.28515625" style="12" customWidth="1"/>
    <col min="11257" max="11257" width="9.5703125" style="12" customWidth="1"/>
    <col min="11258" max="11258" width="13.5703125" style="12" customWidth="1"/>
    <col min="11259" max="11268" width="12.140625" style="12" customWidth="1"/>
    <col min="11269" max="11278" width="0" style="12" hidden="1" customWidth="1"/>
    <col min="11279" max="11279" width="14.140625" style="12" customWidth="1"/>
    <col min="11280" max="11508" width="9.140625" style="12"/>
    <col min="11509" max="11509" width="1" style="12" customWidth="1"/>
    <col min="11510" max="11510" width="39.140625" style="12" customWidth="1"/>
    <col min="11511" max="11511" width="21.42578125" style="12" customWidth="1"/>
    <col min="11512" max="11512" width="11.28515625" style="12" customWidth="1"/>
    <col min="11513" max="11513" width="9.5703125" style="12" customWidth="1"/>
    <col min="11514" max="11514" width="13.5703125" style="12" customWidth="1"/>
    <col min="11515" max="11524" width="12.140625" style="12" customWidth="1"/>
    <col min="11525" max="11534" width="0" style="12" hidden="1" customWidth="1"/>
    <col min="11535" max="11535" width="14.140625" style="12" customWidth="1"/>
    <col min="11536" max="11764" width="9.140625" style="12"/>
    <col min="11765" max="11765" width="1" style="12" customWidth="1"/>
    <col min="11766" max="11766" width="39.140625" style="12" customWidth="1"/>
    <col min="11767" max="11767" width="21.42578125" style="12" customWidth="1"/>
    <col min="11768" max="11768" width="11.28515625" style="12" customWidth="1"/>
    <col min="11769" max="11769" width="9.5703125" style="12" customWidth="1"/>
    <col min="11770" max="11770" width="13.5703125" style="12" customWidth="1"/>
    <col min="11771" max="11780" width="12.140625" style="12" customWidth="1"/>
    <col min="11781" max="11790" width="0" style="12" hidden="1" customWidth="1"/>
    <col min="11791" max="11791" width="14.140625" style="12" customWidth="1"/>
    <col min="11792" max="12020" width="9.140625" style="12"/>
    <col min="12021" max="12021" width="1" style="12" customWidth="1"/>
    <col min="12022" max="12022" width="39.140625" style="12" customWidth="1"/>
    <col min="12023" max="12023" width="21.42578125" style="12" customWidth="1"/>
    <col min="12024" max="12024" width="11.28515625" style="12" customWidth="1"/>
    <col min="12025" max="12025" width="9.5703125" style="12" customWidth="1"/>
    <col min="12026" max="12026" width="13.5703125" style="12" customWidth="1"/>
    <col min="12027" max="12036" width="12.140625" style="12" customWidth="1"/>
    <col min="12037" max="12046" width="0" style="12" hidden="1" customWidth="1"/>
    <col min="12047" max="12047" width="14.140625" style="12" customWidth="1"/>
    <col min="12048" max="12276" width="9.140625" style="12"/>
    <col min="12277" max="12277" width="1" style="12" customWidth="1"/>
    <col min="12278" max="12278" width="39.140625" style="12" customWidth="1"/>
    <col min="12279" max="12279" width="21.42578125" style="12" customWidth="1"/>
    <col min="12280" max="12280" width="11.28515625" style="12" customWidth="1"/>
    <col min="12281" max="12281" width="9.5703125" style="12" customWidth="1"/>
    <col min="12282" max="12282" width="13.5703125" style="12" customWidth="1"/>
    <col min="12283" max="12292" width="12.140625" style="12" customWidth="1"/>
    <col min="12293" max="12302" width="0" style="12" hidden="1" customWidth="1"/>
    <col min="12303" max="12303" width="14.140625" style="12" customWidth="1"/>
    <col min="12304" max="12532" width="9.140625" style="12"/>
    <col min="12533" max="12533" width="1" style="12" customWidth="1"/>
    <col min="12534" max="12534" width="39.140625" style="12" customWidth="1"/>
    <col min="12535" max="12535" width="21.42578125" style="12" customWidth="1"/>
    <col min="12536" max="12536" width="11.28515625" style="12" customWidth="1"/>
    <col min="12537" max="12537" width="9.5703125" style="12" customWidth="1"/>
    <col min="12538" max="12538" width="13.5703125" style="12" customWidth="1"/>
    <col min="12539" max="12548" width="12.140625" style="12" customWidth="1"/>
    <col min="12549" max="12558" width="0" style="12" hidden="1" customWidth="1"/>
    <col min="12559" max="12559" width="14.140625" style="12" customWidth="1"/>
    <col min="12560" max="12788" width="9.140625" style="12"/>
    <col min="12789" max="12789" width="1" style="12" customWidth="1"/>
    <col min="12790" max="12790" width="39.140625" style="12" customWidth="1"/>
    <col min="12791" max="12791" width="21.42578125" style="12" customWidth="1"/>
    <col min="12792" max="12792" width="11.28515625" style="12" customWidth="1"/>
    <col min="12793" max="12793" width="9.5703125" style="12" customWidth="1"/>
    <col min="12794" max="12794" width="13.5703125" style="12" customWidth="1"/>
    <col min="12795" max="12804" width="12.140625" style="12" customWidth="1"/>
    <col min="12805" max="12814" width="0" style="12" hidden="1" customWidth="1"/>
    <col min="12815" max="12815" width="14.140625" style="12" customWidth="1"/>
    <col min="12816" max="13044" width="9.140625" style="12"/>
    <col min="13045" max="13045" width="1" style="12" customWidth="1"/>
    <col min="13046" max="13046" width="39.140625" style="12" customWidth="1"/>
    <col min="13047" max="13047" width="21.42578125" style="12" customWidth="1"/>
    <col min="13048" max="13048" width="11.28515625" style="12" customWidth="1"/>
    <col min="13049" max="13049" width="9.5703125" style="12" customWidth="1"/>
    <col min="13050" max="13050" width="13.5703125" style="12" customWidth="1"/>
    <col min="13051" max="13060" width="12.140625" style="12" customWidth="1"/>
    <col min="13061" max="13070" width="0" style="12" hidden="1" customWidth="1"/>
    <col min="13071" max="13071" width="14.140625" style="12" customWidth="1"/>
    <col min="13072" max="13300" width="9.140625" style="12"/>
    <col min="13301" max="13301" width="1" style="12" customWidth="1"/>
    <col min="13302" max="13302" width="39.140625" style="12" customWidth="1"/>
    <col min="13303" max="13303" width="21.42578125" style="12" customWidth="1"/>
    <col min="13304" max="13304" width="11.28515625" style="12" customWidth="1"/>
    <col min="13305" max="13305" width="9.5703125" style="12" customWidth="1"/>
    <col min="13306" max="13306" width="13.5703125" style="12" customWidth="1"/>
    <col min="13307" max="13316" width="12.140625" style="12" customWidth="1"/>
    <col min="13317" max="13326" width="0" style="12" hidden="1" customWidth="1"/>
    <col min="13327" max="13327" width="14.140625" style="12" customWidth="1"/>
    <col min="13328" max="13556" width="9.140625" style="12"/>
    <col min="13557" max="13557" width="1" style="12" customWidth="1"/>
    <col min="13558" max="13558" width="39.140625" style="12" customWidth="1"/>
    <col min="13559" max="13559" width="21.42578125" style="12" customWidth="1"/>
    <col min="13560" max="13560" width="11.28515625" style="12" customWidth="1"/>
    <col min="13561" max="13561" width="9.5703125" style="12" customWidth="1"/>
    <col min="13562" max="13562" width="13.5703125" style="12" customWidth="1"/>
    <col min="13563" max="13572" width="12.140625" style="12" customWidth="1"/>
    <col min="13573" max="13582" width="0" style="12" hidden="1" customWidth="1"/>
    <col min="13583" max="13583" width="14.140625" style="12" customWidth="1"/>
    <col min="13584" max="13812" width="9.140625" style="12"/>
    <col min="13813" max="13813" width="1" style="12" customWidth="1"/>
    <col min="13814" max="13814" width="39.140625" style="12" customWidth="1"/>
    <col min="13815" max="13815" width="21.42578125" style="12" customWidth="1"/>
    <col min="13816" max="13816" width="11.28515625" style="12" customWidth="1"/>
    <col min="13817" max="13817" width="9.5703125" style="12" customWidth="1"/>
    <col min="13818" max="13818" width="13.5703125" style="12" customWidth="1"/>
    <col min="13819" max="13828" width="12.140625" style="12" customWidth="1"/>
    <col min="13829" max="13838" width="0" style="12" hidden="1" customWidth="1"/>
    <col min="13839" max="13839" width="14.140625" style="12" customWidth="1"/>
    <col min="13840" max="14068" width="9.140625" style="12"/>
    <col min="14069" max="14069" width="1" style="12" customWidth="1"/>
    <col min="14070" max="14070" width="39.140625" style="12" customWidth="1"/>
    <col min="14071" max="14071" width="21.42578125" style="12" customWidth="1"/>
    <col min="14072" max="14072" width="11.28515625" style="12" customWidth="1"/>
    <col min="14073" max="14073" width="9.5703125" style="12" customWidth="1"/>
    <col min="14074" max="14074" width="13.5703125" style="12" customWidth="1"/>
    <col min="14075" max="14084" width="12.140625" style="12" customWidth="1"/>
    <col min="14085" max="14094" width="0" style="12" hidden="1" customWidth="1"/>
    <col min="14095" max="14095" width="14.140625" style="12" customWidth="1"/>
    <col min="14096" max="14324" width="9.140625" style="12"/>
    <col min="14325" max="14325" width="1" style="12" customWidth="1"/>
    <col min="14326" max="14326" width="39.140625" style="12" customWidth="1"/>
    <col min="14327" max="14327" width="21.42578125" style="12" customWidth="1"/>
    <col min="14328" max="14328" width="11.28515625" style="12" customWidth="1"/>
    <col min="14329" max="14329" width="9.5703125" style="12" customWidth="1"/>
    <col min="14330" max="14330" width="13.5703125" style="12" customWidth="1"/>
    <col min="14331" max="14340" width="12.140625" style="12" customWidth="1"/>
    <col min="14341" max="14350" width="0" style="12" hidden="1" customWidth="1"/>
    <col min="14351" max="14351" width="14.140625" style="12" customWidth="1"/>
    <col min="14352" max="14580" width="9.140625" style="12"/>
    <col min="14581" max="14581" width="1" style="12" customWidth="1"/>
    <col min="14582" max="14582" width="39.140625" style="12" customWidth="1"/>
    <col min="14583" max="14583" width="21.42578125" style="12" customWidth="1"/>
    <col min="14584" max="14584" width="11.28515625" style="12" customWidth="1"/>
    <col min="14585" max="14585" width="9.5703125" style="12" customWidth="1"/>
    <col min="14586" max="14586" width="13.5703125" style="12" customWidth="1"/>
    <col min="14587" max="14596" width="12.140625" style="12" customWidth="1"/>
    <col min="14597" max="14606" width="0" style="12" hidden="1" customWidth="1"/>
    <col min="14607" max="14607" width="14.140625" style="12" customWidth="1"/>
    <col min="14608" max="14836" width="9.140625" style="12"/>
    <col min="14837" max="14837" width="1" style="12" customWidth="1"/>
    <col min="14838" max="14838" width="39.140625" style="12" customWidth="1"/>
    <col min="14839" max="14839" width="21.42578125" style="12" customWidth="1"/>
    <col min="14840" max="14840" width="11.28515625" style="12" customWidth="1"/>
    <col min="14841" max="14841" width="9.5703125" style="12" customWidth="1"/>
    <col min="14842" max="14842" width="13.5703125" style="12" customWidth="1"/>
    <col min="14843" max="14852" width="12.140625" style="12" customWidth="1"/>
    <col min="14853" max="14862" width="0" style="12" hidden="1" customWidth="1"/>
    <col min="14863" max="14863" width="14.140625" style="12" customWidth="1"/>
    <col min="14864" max="15092" width="9.140625" style="12"/>
    <col min="15093" max="15093" width="1" style="12" customWidth="1"/>
    <col min="15094" max="15094" width="39.140625" style="12" customWidth="1"/>
    <col min="15095" max="15095" width="21.42578125" style="12" customWidth="1"/>
    <col min="15096" max="15096" width="11.28515625" style="12" customWidth="1"/>
    <col min="15097" max="15097" width="9.5703125" style="12" customWidth="1"/>
    <col min="15098" max="15098" width="13.5703125" style="12" customWidth="1"/>
    <col min="15099" max="15108" width="12.140625" style="12" customWidth="1"/>
    <col min="15109" max="15118" width="0" style="12" hidden="1" customWidth="1"/>
    <col min="15119" max="15119" width="14.140625" style="12" customWidth="1"/>
    <col min="15120" max="15348" width="9.140625" style="12"/>
    <col min="15349" max="15349" width="1" style="12" customWidth="1"/>
    <col min="15350" max="15350" width="39.140625" style="12" customWidth="1"/>
    <col min="15351" max="15351" width="21.42578125" style="12" customWidth="1"/>
    <col min="15352" max="15352" width="11.28515625" style="12" customWidth="1"/>
    <col min="15353" max="15353" width="9.5703125" style="12" customWidth="1"/>
    <col min="15354" max="15354" width="13.5703125" style="12" customWidth="1"/>
    <col min="15355" max="15364" width="12.140625" style="12" customWidth="1"/>
    <col min="15365" max="15374" width="0" style="12" hidden="1" customWidth="1"/>
    <col min="15375" max="15375" width="14.140625" style="12" customWidth="1"/>
    <col min="15376" max="15604" width="9.140625" style="12"/>
    <col min="15605" max="15605" width="1" style="12" customWidth="1"/>
    <col min="15606" max="15606" width="39.140625" style="12" customWidth="1"/>
    <col min="15607" max="15607" width="21.42578125" style="12" customWidth="1"/>
    <col min="15608" max="15608" width="11.28515625" style="12" customWidth="1"/>
    <col min="15609" max="15609" width="9.5703125" style="12" customWidth="1"/>
    <col min="15610" max="15610" width="13.5703125" style="12" customWidth="1"/>
    <col min="15611" max="15620" width="12.140625" style="12" customWidth="1"/>
    <col min="15621" max="15630" width="0" style="12" hidden="1" customWidth="1"/>
    <col min="15631" max="15631" width="14.140625" style="12" customWidth="1"/>
    <col min="15632" max="15860" width="9.140625" style="12"/>
    <col min="15861" max="15861" width="1" style="12" customWidth="1"/>
    <col min="15862" max="15862" width="39.140625" style="12" customWidth="1"/>
    <col min="15863" max="15863" width="21.42578125" style="12" customWidth="1"/>
    <col min="15864" max="15864" width="11.28515625" style="12" customWidth="1"/>
    <col min="15865" max="15865" width="9.5703125" style="12" customWidth="1"/>
    <col min="15866" max="15866" width="13.5703125" style="12" customWidth="1"/>
    <col min="15867" max="15876" width="12.140625" style="12" customWidth="1"/>
    <col min="15877" max="15886" width="0" style="12" hidden="1" customWidth="1"/>
    <col min="15887" max="15887" width="14.140625" style="12" customWidth="1"/>
    <col min="15888" max="16116" width="9.140625" style="12"/>
    <col min="16117" max="16117" width="1" style="12" customWidth="1"/>
    <col min="16118" max="16118" width="39.140625" style="12" customWidth="1"/>
    <col min="16119" max="16119" width="21.42578125" style="12" customWidth="1"/>
    <col min="16120" max="16120" width="11.28515625" style="12" customWidth="1"/>
    <col min="16121" max="16121" width="9.5703125" style="12" customWidth="1"/>
    <col min="16122" max="16122" width="13.5703125" style="12" customWidth="1"/>
    <col min="16123" max="16132" width="12.140625" style="12" customWidth="1"/>
    <col min="16133" max="16142" width="0" style="12" hidden="1" customWidth="1"/>
    <col min="16143" max="16143" width="14.140625" style="12" customWidth="1"/>
    <col min="16144" max="16384" width="9.140625" style="12"/>
  </cols>
  <sheetData>
    <row r="1" spans="1:214" s="13" customFormat="1" ht="22.5" customHeight="1">
      <c r="A1" s="199" t="s">
        <v>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  <c r="FC1" s="107"/>
      <c r="FD1" s="107"/>
      <c r="FE1" s="107"/>
      <c r="FF1" s="107"/>
      <c r="FG1" s="107"/>
      <c r="FH1" s="107"/>
      <c r="FI1" s="107"/>
      <c r="FJ1" s="107"/>
      <c r="FK1" s="107"/>
      <c r="FL1" s="107"/>
      <c r="FM1" s="107"/>
      <c r="FN1" s="107"/>
      <c r="FO1" s="107"/>
      <c r="FP1" s="107"/>
      <c r="FQ1" s="107"/>
      <c r="FR1" s="107"/>
      <c r="FS1" s="107"/>
      <c r="FT1" s="107"/>
      <c r="FU1" s="107"/>
      <c r="FV1" s="107"/>
      <c r="FW1" s="107"/>
      <c r="FX1" s="107"/>
      <c r="FY1" s="107"/>
      <c r="FZ1" s="107"/>
      <c r="GA1" s="107"/>
      <c r="GB1" s="107"/>
      <c r="GC1" s="107"/>
      <c r="GD1" s="107"/>
      <c r="GE1" s="107"/>
      <c r="GF1" s="107"/>
      <c r="GG1" s="107"/>
      <c r="GH1" s="107"/>
      <c r="GI1" s="107"/>
      <c r="GJ1" s="107"/>
      <c r="GK1" s="107"/>
      <c r="GL1" s="107"/>
      <c r="GM1" s="107"/>
      <c r="GN1" s="107"/>
      <c r="GO1" s="107"/>
      <c r="GP1" s="107"/>
      <c r="GQ1" s="107"/>
      <c r="GR1" s="107"/>
      <c r="GS1" s="107"/>
      <c r="GT1" s="107"/>
      <c r="GU1" s="107"/>
      <c r="GV1" s="107"/>
      <c r="GW1" s="107"/>
      <c r="GX1" s="107"/>
      <c r="GY1" s="107"/>
      <c r="GZ1" s="107"/>
      <c r="HA1" s="107"/>
      <c r="HB1" s="107"/>
      <c r="HC1" s="107"/>
      <c r="HD1" s="107"/>
      <c r="HE1" s="107"/>
      <c r="HF1" s="107"/>
    </row>
    <row r="2" spans="1:214" ht="12.75" customHeight="1"/>
    <row r="3" spans="1:214" ht="12.75" customHeight="1"/>
    <row r="4" spans="1:214" ht="31.5" customHeight="1">
      <c r="A4" s="200" t="s">
        <v>1</v>
      </c>
      <c r="B4" s="200" t="s">
        <v>2</v>
      </c>
      <c r="C4" s="200" t="s">
        <v>3</v>
      </c>
      <c r="D4" s="200" t="s">
        <v>4</v>
      </c>
      <c r="E4" s="200"/>
      <c r="F4" s="200" t="s">
        <v>5</v>
      </c>
      <c r="G4" s="201" t="s">
        <v>349</v>
      </c>
      <c r="H4" s="202"/>
      <c r="I4" s="202"/>
      <c r="J4" s="202"/>
      <c r="K4" s="202"/>
      <c r="L4" s="202"/>
      <c r="M4" s="202"/>
      <c r="N4" s="202"/>
      <c r="O4" s="203"/>
      <c r="P4" s="200" t="s">
        <v>6</v>
      </c>
    </row>
    <row r="5" spans="1:214" s="14" customFormat="1" ht="23.25" customHeight="1">
      <c r="A5" s="200"/>
      <c r="B5" s="200"/>
      <c r="C5" s="200"/>
      <c r="D5" s="154" t="s">
        <v>7</v>
      </c>
      <c r="E5" s="154" t="s">
        <v>8</v>
      </c>
      <c r="F5" s="200"/>
      <c r="G5" s="95">
        <v>2020</v>
      </c>
      <c r="H5" s="95">
        <v>2021</v>
      </c>
      <c r="I5" s="95">
        <v>2022</v>
      </c>
      <c r="J5" s="95">
        <v>2023</v>
      </c>
      <c r="K5" s="95">
        <v>2024</v>
      </c>
      <c r="L5" s="95">
        <v>2025</v>
      </c>
      <c r="M5" s="95">
        <v>2026</v>
      </c>
      <c r="N5" s="95">
        <v>2027</v>
      </c>
      <c r="O5" s="95">
        <v>2028</v>
      </c>
      <c r="P5" s="200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</row>
    <row r="6" spans="1:214" s="18" customFormat="1" ht="15" customHeight="1">
      <c r="A6" s="17">
        <v>1</v>
      </c>
      <c r="B6" s="16">
        <v>2</v>
      </c>
      <c r="C6" s="16">
        <v>3</v>
      </c>
      <c r="D6" s="17">
        <v>4</v>
      </c>
      <c r="E6" s="17">
        <v>5</v>
      </c>
      <c r="F6" s="17">
        <v>6</v>
      </c>
      <c r="G6" s="16">
        <v>7</v>
      </c>
      <c r="H6" s="16">
        <v>8</v>
      </c>
      <c r="I6" s="16">
        <v>9</v>
      </c>
      <c r="J6" s="16">
        <v>10</v>
      </c>
      <c r="K6" s="16">
        <v>11</v>
      </c>
      <c r="L6" s="16">
        <v>12</v>
      </c>
      <c r="M6" s="16">
        <v>13</v>
      </c>
      <c r="N6" s="16">
        <v>14</v>
      </c>
      <c r="O6" s="16">
        <v>15</v>
      </c>
      <c r="P6" s="17">
        <v>16</v>
      </c>
    </row>
    <row r="7" spans="1:214" s="21" customFormat="1" ht="18.75" customHeight="1">
      <c r="A7" s="19" t="s">
        <v>9</v>
      </c>
      <c r="B7" s="198" t="s">
        <v>10</v>
      </c>
      <c r="C7" s="198"/>
      <c r="D7" s="198"/>
      <c r="E7" s="198"/>
      <c r="F7" s="20">
        <f t="shared" ref="F7:P8" si="0">SUM(F10,F23,F26)</f>
        <v>107141682</v>
      </c>
      <c r="G7" s="20">
        <f t="shared" si="0"/>
        <v>18486295</v>
      </c>
      <c r="H7" s="20">
        <f t="shared" si="0"/>
        <v>14667168</v>
      </c>
      <c r="I7" s="20">
        <f t="shared" si="0"/>
        <v>12867837</v>
      </c>
      <c r="J7" s="20">
        <f t="shared" si="0"/>
        <v>13191023</v>
      </c>
      <c r="K7" s="20">
        <f t="shared" si="0"/>
        <v>11460000</v>
      </c>
      <c r="L7" s="20">
        <f t="shared" si="0"/>
        <v>10030000</v>
      </c>
      <c r="M7" s="20">
        <f t="shared" si="0"/>
        <v>3500000</v>
      </c>
      <c r="N7" s="20">
        <f t="shared" si="0"/>
        <v>1050000</v>
      </c>
      <c r="O7" s="20">
        <f t="shared" si="0"/>
        <v>700000</v>
      </c>
      <c r="P7" s="20">
        <f t="shared" si="0"/>
        <v>85952323</v>
      </c>
    </row>
    <row r="8" spans="1:214" s="21" customFormat="1" ht="18.75" customHeight="1">
      <c r="A8" s="19" t="s">
        <v>11</v>
      </c>
      <c r="B8" s="198" t="s">
        <v>12</v>
      </c>
      <c r="C8" s="198"/>
      <c r="D8" s="198"/>
      <c r="E8" s="198"/>
      <c r="F8" s="20">
        <f t="shared" si="0"/>
        <v>11696876</v>
      </c>
      <c r="G8" s="20">
        <f>SUM(G11,G24,G27)</f>
        <v>3854423</v>
      </c>
      <c r="H8" s="20">
        <f t="shared" si="0"/>
        <v>2274681</v>
      </c>
      <c r="I8" s="20">
        <f t="shared" si="0"/>
        <v>1187837</v>
      </c>
      <c r="J8" s="20">
        <f t="shared" si="0"/>
        <v>903540</v>
      </c>
      <c r="K8" s="20">
        <f t="shared" si="0"/>
        <v>0</v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8220481</v>
      </c>
    </row>
    <row r="9" spans="1:214" s="21" customFormat="1" ht="18.75" customHeight="1">
      <c r="A9" s="19" t="s">
        <v>13</v>
      </c>
      <c r="B9" s="198" t="s">
        <v>14</v>
      </c>
      <c r="C9" s="198"/>
      <c r="D9" s="198"/>
      <c r="E9" s="198"/>
      <c r="F9" s="20">
        <f t="shared" ref="F9:P9" si="1">SUM(F21,F25,F32)</f>
        <v>95444806</v>
      </c>
      <c r="G9" s="20">
        <f t="shared" si="1"/>
        <v>14631872</v>
      </c>
      <c r="H9" s="20">
        <f>SUM(H21,H25,H32)</f>
        <v>12392487</v>
      </c>
      <c r="I9" s="20">
        <f t="shared" si="1"/>
        <v>11680000</v>
      </c>
      <c r="J9" s="20">
        <f t="shared" si="1"/>
        <v>12287483</v>
      </c>
      <c r="K9" s="20">
        <f t="shared" si="1"/>
        <v>11460000</v>
      </c>
      <c r="L9" s="20">
        <f t="shared" si="1"/>
        <v>10030000</v>
      </c>
      <c r="M9" s="20">
        <f t="shared" si="1"/>
        <v>3500000</v>
      </c>
      <c r="N9" s="20">
        <f t="shared" si="1"/>
        <v>1050000</v>
      </c>
      <c r="O9" s="20">
        <f t="shared" si="1"/>
        <v>700000</v>
      </c>
      <c r="P9" s="20">
        <f t="shared" si="1"/>
        <v>77731842</v>
      </c>
    </row>
    <row r="10" spans="1:214" s="23" customFormat="1" ht="48.75" customHeight="1">
      <c r="A10" s="19" t="s">
        <v>15</v>
      </c>
      <c r="B10" s="198" t="s">
        <v>121</v>
      </c>
      <c r="C10" s="198"/>
      <c r="D10" s="198"/>
      <c r="E10" s="198"/>
      <c r="F10" s="22">
        <f>SUM(F11,F21)</f>
        <v>7250616</v>
      </c>
      <c r="G10" s="22">
        <f t="shared" ref="G10:P10" si="2">SUM(G11,G21)</f>
        <v>3336530</v>
      </c>
      <c r="H10" s="22">
        <f t="shared" si="2"/>
        <v>923410</v>
      </c>
      <c r="I10" s="22">
        <f t="shared" si="2"/>
        <v>118896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4378836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</row>
    <row r="11" spans="1:214" s="21" customFormat="1" ht="18.75" customHeight="1">
      <c r="A11" s="19" t="s">
        <v>16</v>
      </c>
      <c r="B11" s="198" t="s">
        <v>12</v>
      </c>
      <c r="C11" s="198"/>
      <c r="D11" s="198"/>
      <c r="E11" s="198"/>
      <c r="F11" s="20">
        <f>SUM(F12:F20)</f>
        <v>6888150</v>
      </c>
      <c r="G11" s="20">
        <f>SUM(G12:G20)</f>
        <v>3323275</v>
      </c>
      <c r="H11" s="20">
        <f t="shared" ref="H11:O11" si="3">SUM(H12:H20)</f>
        <v>825744</v>
      </c>
      <c r="I11" s="20">
        <f t="shared" si="3"/>
        <v>118896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>SUM(P12:P20)</f>
        <v>4267915</v>
      </c>
    </row>
    <row r="12" spans="1:214" s="36" customFormat="1" ht="42" customHeight="1">
      <c r="A12" s="26" t="s">
        <v>98</v>
      </c>
      <c r="B12" s="24" t="s">
        <v>22</v>
      </c>
      <c r="C12" s="25" t="s">
        <v>18</v>
      </c>
      <c r="D12" s="26">
        <v>2018</v>
      </c>
      <c r="E12" s="26">
        <v>2020</v>
      </c>
      <c r="F12" s="28">
        <v>643517</v>
      </c>
      <c r="G12" s="28">
        <f>134772+18286</f>
        <v>153058</v>
      </c>
      <c r="H12" s="28"/>
      <c r="I12" s="28"/>
      <c r="J12" s="28"/>
      <c r="K12" s="28"/>
      <c r="L12" s="28"/>
      <c r="M12" s="28"/>
      <c r="N12" s="28"/>
      <c r="O12" s="28"/>
      <c r="P12" s="27">
        <f t="shared" ref="P12:P20" si="4">SUM(G12:N12)</f>
        <v>153058</v>
      </c>
    </row>
    <row r="13" spans="1:214" s="36" customFormat="1" ht="42" customHeight="1">
      <c r="A13" s="26" t="s">
        <v>99</v>
      </c>
      <c r="B13" s="24" t="s">
        <v>105</v>
      </c>
      <c r="C13" s="25" t="s">
        <v>107</v>
      </c>
      <c r="D13" s="26">
        <v>2019</v>
      </c>
      <c r="E13" s="26">
        <v>2022</v>
      </c>
      <c r="F13" s="28">
        <v>805245</v>
      </c>
      <c r="G13" s="28">
        <f>109523+109087</f>
        <v>218610</v>
      </c>
      <c r="H13" s="28">
        <v>109536</v>
      </c>
      <c r="I13" s="28">
        <v>59275</v>
      </c>
      <c r="J13" s="28"/>
      <c r="K13" s="28"/>
      <c r="L13" s="28"/>
      <c r="M13" s="28"/>
      <c r="N13" s="28"/>
      <c r="O13" s="28"/>
      <c r="P13" s="27">
        <f t="shared" si="4"/>
        <v>387421</v>
      </c>
    </row>
    <row r="14" spans="1:214" s="36" customFormat="1" ht="42" customHeight="1">
      <c r="A14" s="26" t="s">
        <v>100</v>
      </c>
      <c r="B14" s="24" t="s">
        <v>106</v>
      </c>
      <c r="C14" s="25" t="s">
        <v>18</v>
      </c>
      <c r="D14" s="26">
        <v>2019</v>
      </c>
      <c r="E14" s="26">
        <v>2022</v>
      </c>
      <c r="F14" s="28">
        <v>830404</v>
      </c>
      <c r="G14" s="28">
        <f>186287+10578</f>
        <v>196865</v>
      </c>
      <c r="H14" s="28">
        <v>181624</v>
      </c>
      <c r="I14" s="28">
        <v>59621</v>
      </c>
      <c r="J14" s="28"/>
      <c r="K14" s="28"/>
      <c r="L14" s="28"/>
      <c r="M14" s="28"/>
      <c r="N14" s="28"/>
      <c r="O14" s="28"/>
      <c r="P14" s="27">
        <f t="shared" si="4"/>
        <v>438110</v>
      </c>
    </row>
    <row r="15" spans="1:214" s="30" customFormat="1" ht="42" customHeight="1">
      <c r="A15" s="26" t="s">
        <v>19</v>
      </c>
      <c r="B15" s="24" t="s">
        <v>198</v>
      </c>
      <c r="C15" s="25" t="s">
        <v>18</v>
      </c>
      <c r="D15" s="26">
        <v>2019</v>
      </c>
      <c r="E15" s="26">
        <v>2021</v>
      </c>
      <c r="F15" s="28">
        <v>641116</v>
      </c>
      <c r="G15" s="28">
        <v>507890</v>
      </c>
      <c r="H15" s="28">
        <v>133226</v>
      </c>
      <c r="I15" s="28"/>
      <c r="J15" s="28"/>
      <c r="K15" s="28"/>
      <c r="L15" s="28"/>
      <c r="M15" s="28"/>
      <c r="N15" s="28"/>
      <c r="O15" s="28"/>
      <c r="P15" s="29">
        <f t="shared" si="4"/>
        <v>641116</v>
      </c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</row>
    <row r="16" spans="1:214" s="30" customFormat="1" ht="42" customHeight="1">
      <c r="A16" s="26" t="s">
        <v>20</v>
      </c>
      <c r="B16" s="31" t="s">
        <v>217</v>
      </c>
      <c r="C16" s="25" t="s">
        <v>18</v>
      </c>
      <c r="D16" s="32">
        <v>2020</v>
      </c>
      <c r="E16" s="32">
        <v>2021</v>
      </c>
      <c r="F16" s="33">
        <v>256153</v>
      </c>
      <c r="G16" s="33">
        <v>204922</v>
      </c>
      <c r="H16" s="33">
        <v>51231</v>
      </c>
      <c r="I16" s="33"/>
      <c r="J16" s="33"/>
      <c r="K16" s="33"/>
      <c r="L16" s="33"/>
      <c r="M16" s="33"/>
      <c r="N16" s="33"/>
      <c r="O16" s="33"/>
      <c r="P16" s="34">
        <f t="shared" si="4"/>
        <v>256153</v>
      </c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</row>
    <row r="17" spans="1:214" s="36" customFormat="1" ht="47.25" customHeight="1">
      <c r="A17" s="26" t="s">
        <v>101</v>
      </c>
      <c r="B17" s="86" t="s">
        <v>340</v>
      </c>
      <c r="C17" s="87" t="s">
        <v>341</v>
      </c>
      <c r="D17" s="68">
        <v>2020</v>
      </c>
      <c r="E17" s="68">
        <v>2021</v>
      </c>
      <c r="F17" s="89">
        <v>132789</v>
      </c>
      <c r="G17" s="89">
        <v>104925</v>
      </c>
      <c r="H17" s="89">
        <v>27864</v>
      </c>
      <c r="I17" s="89"/>
      <c r="J17" s="89"/>
      <c r="K17" s="89"/>
      <c r="L17" s="89"/>
      <c r="M17" s="89"/>
      <c r="N17" s="89"/>
      <c r="O17" s="89"/>
      <c r="P17" s="88">
        <f t="shared" si="4"/>
        <v>132789</v>
      </c>
    </row>
    <row r="18" spans="1:214" s="36" customFormat="1" ht="52.5" customHeight="1">
      <c r="A18" s="26" t="s">
        <v>103</v>
      </c>
      <c r="B18" s="24" t="s">
        <v>21</v>
      </c>
      <c r="C18" s="25" t="s">
        <v>17</v>
      </c>
      <c r="D18" s="26">
        <v>2018</v>
      </c>
      <c r="E18" s="26">
        <v>2020</v>
      </c>
      <c r="F18" s="28">
        <f>2794923+2</f>
        <v>2794925</v>
      </c>
      <c r="G18" s="28">
        <f>1197543+17358-19512+314033</f>
        <v>1509422</v>
      </c>
      <c r="H18" s="28"/>
      <c r="I18" s="28"/>
      <c r="J18" s="28"/>
      <c r="K18" s="28"/>
      <c r="L18" s="28"/>
      <c r="M18" s="28"/>
      <c r="N18" s="28"/>
      <c r="O18" s="28"/>
      <c r="P18" s="27">
        <f t="shared" si="4"/>
        <v>1509422</v>
      </c>
    </row>
    <row r="19" spans="1:214" s="36" customFormat="1" ht="68.25" customHeight="1">
      <c r="A19" s="26" t="s">
        <v>104</v>
      </c>
      <c r="B19" s="24" t="s">
        <v>348</v>
      </c>
      <c r="C19" s="25" t="s">
        <v>17</v>
      </c>
      <c r="D19" s="26">
        <v>2021</v>
      </c>
      <c r="E19" s="26">
        <v>2023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/>
      <c r="L19" s="28"/>
      <c r="M19" s="28"/>
      <c r="N19" s="28"/>
      <c r="O19" s="28"/>
      <c r="P19" s="27">
        <f>SUM(G19:N19)</f>
        <v>0</v>
      </c>
    </row>
    <row r="20" spans="1:214" s="36" customFormat="1" ht="42.75" customHeight="1">
      <c r="A20" s="26" t="s">
        <v>339</v>
      </c>
      <c r="B20" s="24" t="s">
        <v>116</v>
      </c>
      <c r="C20" s="25" t="s">
        <v>17</v>
      </c>
      <c r="D20" s="26">
        <v>2019</v>
      </c>
      <c r="E20" s="26">
        <v>2021</v>
      </c>
      <c r="F20" s="28">
        <f>784000+1</f>
        <v>784001</v>
      </c>
      <c r="G20" s="28">
        <f>424712+2871</f>
        <v>427583</v>
      </c>
      <c r="H20" s="28">
        <v>322263</v>
      </c>
      <c r="I20" s="28"/>
      <c r="J20" s="28"/>
      <c r="K20" s="28"/>
      <c r="L20" s="28"/>
      <c r="M20" s="28"/>
      <c r="N20" s="28"/>
      <c r="O20" s="28"/>
      <c r="P20" s="27">
        <f t="shared" si="4"/>
        <v>749846</v>
      </c>
    </row>
    <row r="21" spans="1:214" s="21" customFormat="1" ht="18.75" customHeight="1">
      <c r="A21" s="19" t="s">
        <v>23</v>
      </c>
      <c r="B21" s="195" t="s">
        <v>14</v>
      </c>
      <c r="C21" s="196"/>
      <c r="D21" s="196"/>
      <c r="E21" s="197"/>
      <c r="F21" s="20">
        <f>F22</f>
        <v>362466</v>
      </c>
      <c r="G21" s="20">
        <f t="shared" ref="G21:P21" si="5">G22</f>
        <v>13255</v>
      </c>
      <c r="H21" s="20">
        <f t="shared" si="5"/>
        <v>97666</v>
      </c>
      <c r="I21" s="20">
        <f t="shared" si="5"/>
        <v>0</v>
      </c>
      <c r="J21" s="20">
        <f t="shared" si="5"/>
        <v>0</v>
      </c>
      <c r="K21" s="20">
        <f t="shared" si="5"/>
        <v>0</v>
      </c>
      <c r="L21" s="20">
        <f t="shared" si="5"/>
        <v>0</v>
      </c>
      <c r="M21" s="20">
        <f t="shared" si="5"/>
        <v>0</v>
      </c>
      <c r="N21" s="20">
        <f t="shared" si="5"/>
        <v>0</v>
      </c>
      <c r="O21" s="20">
        <f t="shared" si="5"/>
        <v>0</v>
      </c>
      <c r="P21" s="20">
        <f t="shared" si="5"/>
        <v>110921</v>
      </c>
      <c r="Q21" s="37"/>
    </row>
    <row r="22" spans="1:214" s="52" customFormat="1" ht="53.25" customHeight="1">
      <c r="A22" s="68" t="s">
        <v>346</v>
      </c>
      <c r="B22" s="157" t="s">
        <v>350</v>
      </c>
      <c r="C22" s="87" t="s">
        <v>24</v>
      </c>
      <c r="D22" s="155">
        <v>2016</v>
      </c>
      <c r="E22" s="155">
        <v>2021</v>
      </c>
      <c r="F22" s="158">
        <f>322117+15179+5285+19885</f>
        <v>362466</v>
      </c>
      <c r="G22" s="158">
        <f>22770-14800+5285</f>
        <v>13255</v>
      </c>
      <c r="H22" s="158">
        <f>47802+29979+19885</f>
        <v>97666</v>
      </c>
      <c r="I22" s="158"/>
      <c r="J22" s="158"/>
      <c r="K22" s="158"/>
      <c r="L22" s="158"/>
      <c r="M22" s="158"/>
      <c r="N22" s="158"/>
      <c r="O22" s="158"/>
      <c r="P22" s="156">
        <f>SUM(G22:O22)</f>
        <v>110921</v>
      </c>
      <c r="Q22" s="159"/>
    </row>
    <row r="23" spans="1:214" s="23" customFormat="1" ht="33.75" customHeight="1">
      <c r="A23" s="19" t="s">
        <v>25</v>
      </c>
      <c r="B23" s="195" t="s">
        <v>26</v>
      </c>
      <c r="C23" s="196"/>
      <c r="D23" s="196"/>
      <c r="E23" s="197"/>
      <c r="F23" s="96">
        <f t="shared" ref="F23:P23" si="6">SUM(F24:F25)</f>
        <v>0</v>
      </c>
      <c r="G23" s="22">
        <f>SUM(G24:G25)</f>
        <v>0</v>
      </c>
      <c r="H23" s="22">
        <f t="shared" si="6"/>
        <v>0</v>
      </c>
      <c r="I23" s="22">
        <f t="shared" si="6"/>
        <v>0</v>
      </c>
      <c r="J23" s="22">
        <f t="shared" si="6"/>
        <v>0</v>
      </c>
      <c r="K23" s="22">
        <f t="shared" si="6"/>
        <v>0</v>
      </c>
      <c r="L23" s="22">
        <f t="shared" si="6"/>
        <v>0</v>
      </c>
      <c r="M23" s="22">
        <f t="shared" si="6"/>
        <v>0</v>
      </c>
      <c r="N23" s="22">
        <f t="shared" si="6"/>
        <v>0</v>
      </c>
      <c r="O23" s="22">
        <f t="shared" si="6"/>
        <v>0</v>
      </c>
      <c r="P23" s="22">
        <f t="shared" si="6"/>
        <v>0</v>
      </c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</row>
    <row r="24" spans="1:214" s="23" customFormat="1" ht="18.75" customHeight="1">
      <c r="A24" s="19" t="s">
        <v>27</v>
      </c>
      <c r="B24" s="195" t="s">
        <v>12</v>
      </c>
      <c r="C24" s="196"/>
      <c r="D24" s="196"/>
      <c r="E24" s="197"/>
      <c r="F24" s="96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</row>
    <row r="25" spans="1:214" s="23" customFormat="1" ht="18.75" customHeight="1">
      <c r="A25" s="19" t="s">
        <v>28</v>
      </c>
      <c r="B25" s="195" t="s">
        <v>14</v>
      </c>
      <c r="C25" s="196"/>
      <c r="D25" s="196"/>
      <c r="E25" s="197"/>
      <c r="F25" s="96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</row>
    <row r="26" spans="1:214" s="23" customFormat="1" ht="28.5" customHeight="1">
      <c r="A26" s="19" t="s">
        <v>29</v>
      </c>
      <c r="B26" s="195" t="s">
        <v>30</v>
      </c>
      <c r="C26" s="196"/>
      <c r="D26" s="196"/>
      <c r="E26" s="197"/>
      <c r="F26" s="22">
        <f>SUM(F27,F32)</f>
        <v>99891066</v>
      </c>
      <c r="G26" s="22">
        <f t="shared" ref="G26:P26" si="7">SUM(G27,G32)</f>
        <v>15149765</v>
      </c>
      <c r="H26" s="22">
        <f t="shared" si="7"/>
        <v>13743758</v>
      </c>
      <c r="I26" s="22">
        <f t="shared" si="7"/>
        <v>12748941</v>
      </c>
      <c r="J26" s="22">
        <f t="shared" si="7"/>
        <v>13191023</v>
      </c>
      <c r="K26" s="22">
        <f t="shared" si="7"/>
        <v>11460000</v>
      </c>
      <c r="L26" s="22">
        <f t="shared" si="7"/>
        <v>10030000</v>
      </c>
      <c r="M26" s="22">
        <f t="shared" si="7"/>
        <v>3500000</v>
      </c>
      <c r="N26" s="22">
        <f t="shared" si="7"/>
        <v>1050000</v>
      </c>
      <c r="O26" s="22">
        <f t="shared" si="7"/>
        <v>700000</v>
      </c>
      <c r="P26" s="22">
        <f t="shared" si="7"/>
        <v>81573487</v>
      </c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</row>
    <row r="27" spans="1:214" s="23" customFormat="1" ht="18.75" customHeight="1">
      <c r="A27" s="19" t="s">
        <v>31</v>
      </c>
      <c r="B27" s="195" t="s">
        <v>12</v>
      </c>
      <c r="C27" s="196"/>
      <c r="D27" s="196"/>
      <c r="E27" s="197"/>
      <c r="F27" s="22">
        <f>SUM(F28:F31)</f>
        <v>4808726</v>
      </c>
      <c r="G27" s="22">
        <f t="shared" ref="G27:P27" si="8">SUM(G28:G31)</f>
        <v>531148</v>
      </c>
      <c r="H27" s="22">
        <f t="shared" si="8"/>
        <v>1448937</v>
      </c>
      <c r="I27" s="22">
        <f t="shared" si="8"/>
        <v>1068941</v>
      </c>
      <c r="J27" s="22">
        <f t="shared" si="8"/>
        <v>903540</v>
      </c>
      <c r="K27" s="22">
        <f t="shared" si="8"/>
        <v>0</v>
      </c>
      <c r="L27" s="22">
        <f t="shared" si="8"/>
        <v>0</v>
      </c>
      <c r="M27" s="22">
        <f t="shared" si="8"/>
        <v>0</v>
      </c>
      <c r="N27" s="22">
        <f t="shared" si="8"/>
        <v>0</v>
      </c>
      <c r="O27" s="22">
        <f t="shared" si="8"/>
        <v>0</v>
      </c>
      <c r="P27" s="22">
        <f t="shared" si="8"/>
        <v>3952566</v>
      </c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</row>
    <row r="28" spans="1:214" s="36" customFormat="1" ht="36" customHeight="1">
      <c r="A28" s="26" t="s">
        <v>32</v>
      </c>
      <c r="B28" s="24" t="s">
        <v>33</v>
      </c>
      <c r="C28" s="25" t="s">
        <v>24</v>
      </c>
      <c r="D28" s="26">
        <v>2017</v>
      </c>
      <c r="E28" s="26">
        <v>2022</v>
      </c>
      <c r="F28" s="28">
        <f>240000+5000+100000+105000+110000+50000+52500+55400</f>
        <v>717900</v>
      </c>
      <c r="G28" s="28">
        <f>100000+50000</f>
        <v>150000</v>
      </c>
      <c r="H28" s="28">
        <f>105000+52500</f>
        <v>157500</v>
      </c>
      <c r="I28" s="28">
        <f>110000+55400</f>
        <v>165400</v>
      </c>
      <c r="J28" s="28"/>
      <c r="K28" s="28"/>
      <c r="L28" s="28"/>
      <c r="M28" s="28"/>
      <c r="N28" s="28"/>
      <c r="O28" s="28"/>
      <c r="P28" s="27">
        <f>SUM(G28:N28)</f>
        <v>472900</v>
      </c>
    </row>
    <row r="29" spans="1:214" s="30" customFormat="1" ht="52.5" customHeight="1">
      <c r="A29" s="26" t="s">
        <v>34</v>
      </c>
      <c r="B29" s="24" t="s">
        <v>35</v>
      </c>
      <c r="C29" s="25" t="s">
        <v>36</v>
      </c>
      <c r="D29" s="26">
        <v>2017</v>
      </c>
      <c r="E29" s="26">
        <v>2021</v>
      </c>
      <c r="F29" s="28">
        <v>1359960</v>
      </c>
      <c r="G29" s="35">
        <v>374400</v>
      </c>
      <c r="H29" s="35">
        <v>374400</v>
      </c>
      <c r="I29" s="35"/>
      <c r="J29" s="35"/>
      <c r="K29" s="35"/>
      <c r="L29" s="35"/>
      <c r="M29" s="35"/>
      <c r="N29" s="35"/>
      <c r="O29" s="35"/>
      <c r="P29" s="29">
        <f>SUM(G29:N29)</f>
        <v>748800</v>
      </c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</row>
    <row r="30" spans="1:214" s="36" customFormat="1" ht="70.5" customHeight="1">
      <c r="A30" s="26" t="s">
        <v>123</v>
      </c>
      <c r="B30" s="24" t="s">
        <v>124</v>
      </c>
      <c r="C30" s="25" t="s">
        <v>17</v>
      </c>
      <c r="D30" s="26">
        <v>2019</v>
      </c>
      <c r="E30" s="26">
        <v>2021</v>
      </c>
      <c r="F30" s="28">
        <v>20244</v>
      </c>
      <c r="G30" s="28">
        <v>6748</v>
      </c>
      <c r="H30" s="28">
        <f>6748+6748</f>
        <v>13496</v>
      </c>
      <c r="I30" s="28"/>
      <c r="J30" s="28"/>
      <c r="K30" s="28"/>
      <c r="L30" s="28"/>
      <c r="M30" s="28"/>
      <c r="N30" s="28"/>
      <c r="O30" s="28"/>
      <c r="P30" s="27">
        <f>SUM(G30:N30)</f>
        <v>20244</v>
      </c>
    </row>
    <row r="31" spans="1:214" s="36" customFormat="1" ht="70.5" customHeight="1">
      <c r="A31" s="26" t="s">
        <v>347</v>
      </c>
      <c r="B31" s="24" t="s">
        <v>348</v>
      </c>
      <c r="C31" s="25" t="s">
        <v>17</v>
      </c>
      <c r="D31" s="26">
        <v>2021</v>
      </c>
      <c r="E31" s="26">
        <v>2023</v>
      </c>
      <c r="F31" s="28">
        <v>2710622</v>
      </c>
      <c r="G31" s="28">
        <v>0</v>
      </c>
      <c r="H31" s="28">
        <v>903541</v>
      </c>
      <c r="I31" s="28">
        <v>903541</v>
      </c>
      <c r="J31" s="28">
        <v>903540</v>
      </c>
      <c r="K31" s="28"/>
      <c r="L31" s="28"/>
      <c r="M31" s="28"/>
      <c r="N31" s="28"/>
      <c r="O31" s="28"/>
      <c r="P31" s="27">
        <f>SUM(G31:N31)</f>
        <v>2710622</v>
      </c>
    </row>
    <row r="32" spans="1:214" s="23" customFormat="1" ht="27" customHeight="1">
      <c r="A32" s="19" t="s">
        <v>37</v>
      </c>
      <c r="B32" s="195" t="s">
        <v>14</v>
      </c>
      <c r="C32" s="196"/>
      <c r="D32" s="196"/>
      <c r="E32" s="197"/>
      <c r="F32" s="22">
        <f>SUM(F33:F86)</f>
        <v>95082340</v>
      </c>
      <c r="G32" s="22">
        <f t="shared" ref="G32:P32" si="9">SUM(G33:G86)</f>
        <v>14618617</v>
      </c>
      <c r="H32" s="22">
        <f t="shared" si="9"/>
        <v>12294821</v>
      </c>
      <c r="I32" s="22">
        <f t="shared" si="9"/>
        <v>11680000</v>
      </c>
      <c r="J32" s="22">
        <f t="shared" si="9"/>
        <v>12287483</v>
      </c>
      <c r="K32" s="22">
        <f t="shared" si="9"/>
        <v>11460000</v>
      </c>
      <c r="L32" s="22">
        <f t="shared" si="9"/>
        <v>10030000</v>
      </c>
      <c r="M32" s="22">
        <f t="shared" si="9"/>
        <v>3500000</v>
      </c>
      <c r="N32" s="22">
        <f t="shared" si="9"/>
        <v>1050000</v>
      </c>
      <c r="O32" s="22">
        <f t="shared" si="9"/>
        <v>700000</v>
      </c>
      <c r="P32" s="22">
        <f t="shared" si="9"/>
        <v>77620921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</row>
    <row r="33" spans="1:214" s="30" customFormat="1" ht="35.25" customHeight="1">
      <c r="A33" s="26" t="s">
        <v>38</v>
      </c>
      <c r="B33" s="24" t="s">
        <v>39</v>
      </c>
      <c r="C33" s="25" t="s">
        <v>40</v>
      </c>
      <c r="D33" s="26">
        <v>2014</v>
      </c>
      <c r="E33" s="26">
        <v>2022</v>
      </c>
      <c r="F33" s="28">
        <f>744637+100000</f>
        <v>844637</v>
      </c>
      <c r="G33" s="35">
        <v>0</v>
      </c>
      <c r="H33" s="28">
        <v>100000</v>
      </c>
      <c r="I33" s="28">
        <v>150000</v>
      </c>
      <c r="J33" s="35"/>
      <c r="K33" s="35"/>
      <c r="L33" s="35"/>
      <c r="M33" s="35"/>
      <c r="N33" s="35"/>
      <c r="O33" s="35"/>
      <c r="P33" s="29">
        <f>SUM(G33:O33)</f>
        <v>250000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</row>
    <row r="34" spans="1:214" s="36" customFormat="1" ht="45.75" customHeight="1">
      <c r="A34" s="26" t="s">
        <v>41</v>
      </c>
      <c r="B34" s="24" t="s">
        <v>97</v>
      </c>
      <c r="C34" s="25" t="s">
        <v>40</v>
      </c>
      <c r="D34" s="26">
        <v>2015</v>
      </c>
      <c r="E34" s="26">
        <v>2022</v>
      </c>
      <c r="F34" s="28">
        <v>1349861</v>
      </c>
      <c r="G34" s="28">
        <v>100000</v>
      </c>
      <c r="H34" s="28">
        <v>200000</v>
      </c>
      <c r="I34" s="28">
        <v>100000</v>
      </c>
      <c r="J34" s="28"/>
      <c r="K34" s="28"/>
      <c r="L34" s="28"/>
      <c r="M34" s="28"/>
      <c r="N34" s="28"/>
      <c r="O34" s="28"/>
      <c r="P34" s="27">
        <f t="shared" ref="P34:P86" si="10">SUM(G34:O34)</f>
        <v>400000</v>
      </c>
    </row>
    <row r="35" spans="1:214" s="36" customFormat="1" ht="65.25" customHeight="1">
      <c r="A35" s="26" t="s">
        <v>42</v>
      </c>
      <c r="B35" s="86" t="s">
        <v>43</v>
      </c>
      <c r="C35" s="87" t="s">
        <v>24</v>
      </c>
      <c r="D35" s="68">
        <v>2011</v>
      </c>
      <c r="E35" s="68">
        <v>2022</v>
      </c>
      <c r="F35" s="89">
        <v>2979176</v>
      </c>
      <c r="G35" s="89">
        <f>500000+272000-272000-310000-5285</f>
        <v>184715</v>
      </c>
      <c r="H35" s="89">
        <f>1000000+450000+5285</f>
        <v>1455285</v>
      </c>
      <c r="I35" s="89">
        <f>1000000-140000</f>
        <v>860000</v>
      </c>
      <c r="J35" s="89"/>
      <c r="K35" s="89"/>
      <c r="L35" s="89"/>
      <c r="M35" s="89"/>
      <c r="N35" s="89"/>
      <c r="O35" s="89"/>
      <c r="P35" s="88">
        <f t="shared" si="10"/>
        <v>2500000</v>
      </c>
    </row>
    <row r="36" spans="1:214" s="103" customFormat="1" ht="46.5" customHeight="1">
      <c r="A36" s="134" t="s">
        <v>344</v>
      </c>
      <c r="B36" s="136" t="s">
        <v>48</v>
      </c>
      <c r="C36" s="137" t="s">
        <v>40</v>
      </c>
      <c r="D36" s="135">
        <v>2017</v>
      </c>
      <c r="E36" s="135">
        <v>2022</v>
      </c>
      <c r="F36" s="138">
        <f>248413</f>
        <v>248413</v>
      </c>
      <c r="G36" s="138">
        <v>0</v>
      </c>
      <c r="H36" s="138">
        <v>220000</v>
      </c>
      <c r="I36" s="138">
        <v>0</v>
      </c>
      <c r="J36" s="138"/>
      <c r="K36" s="138"/>
      <c r="L36" s="138"/>
      <c r="M36" s="138"/>
      <c r="N36" s="138"/>
      <c r="O36" s="138"/>
      <c r="P36" s="178">
        <f t="shared" si="10"/>
        <v>220000</v>
      </c>
    </row>
    <row r="37" spans="1:214" s="52" customFormat="1" ht="33.75" customHeight="1">
      <c r="A37" s="26" t="s">
        <v>44</v>
      </c>
      <c r="B37" s="24" t="s">
        <v>51</v>
      </c>
      <c r="C37" s="25" t="s">
        <v>40</v>
      </c>
      <c r="D37" s="26">
        <v>2017</v>
      </c>
      <c r="E37" s="26">
        <v>2023</v>
      </c>
      <c r="F37" s="28">
        <f>465460</f>
        <v>465460</v>
      </c>
      <c r="G37" s="28">
        <f>100000+100000</f>
        <v>200000</v>
      </c>
      <c r="H37" s="28">
        <v>0</v>
      </c>
      <c r="I37" s="28">
        <v>150000</v>
      </c>
      <c r="J37" s="28"/>
      <c r="K37" s="28"/>
      <c r="L37" s="28"/>
      <c r="M37" s="28"/>
      <c r="N37" s="28"/>
      <c r="O37" s="28"/>
      <c r="P37" s="27">
        <f t="shared" si="10"/>
        <v>350000</v>
      </c>
    </row>
    <row r="38" spans="1:214" s="52" customFormat="1" ht="36.75" customHeight="1">
      <c r="A38" s="26" t="s">
        <v>45</v>
      </c>
      <c r="B38" s="24" t="s">
        <v>54</v>
      </c>
      <c r="C38" s="25" t="s">
        <v>40</v>
      </c>
      <c r="D38" s="26">
        <v>2017</v>
      </c>
      <c r="E38" s="26">
        <v>2022</v>
      </c>
      <c r="F38" s="28">
        <f>800000+100000</f>
        <v>900000</v>
      </c>
      <c r="G38" s="28">
        <v>100000</v>
      </c>
      <c r="H38" s="28">
        <v>150000</v>
      </c>
      <c r="I38" s="28">
        <v>150000</v>
      </c>
      <c r="J38" s="28"/>
      <c r="K38" s="28"/>
      <c r="L38" s="28"/>
      <c r="M38" s="28"/>
      <c r="N38" s="28"/>
      <c r="O38" s="28"/>
      <c r="P38" s="27">
        <f t="shared" si="10"/>
        <v>400000</v>
      </c>
    </row>
    <row r="39" spans="1:214" s="52" customFormat="1" ht="39.75" customHeight="1">
      <c r="A39" s="26" t="s">
        <v>46</v>
      </c>
      <c r="B39" s="24" t="s">
        <v>58</v>
      </c>
      <c r="C39" s="25" t="s">
        <v>40</v>
      </c>
      <c r="D39" s="26">
        <v>2017</v>
      </c>
      <c r="E39" s="26">
        <v>2021</v>
      </c>
      <c r="F39" s="28">
        <v>500000</v>
      </c>
      <c r="G39" s="28">
        <v>0</v>
      </c>
      <c r="H39" s="28">
        <v>250000</v>
      </c>
      <c r="I39" s="28"/>
      <c r="J39" s="28"/>
      <c r="K39" s="28"/>
      <c r="L39" s="28"/>
      <c r="M39" s="28"/>
      <c r="N39" s="28"/>
      <c r="O39" s="28"/>
      <c r="P39" s="27">
        <f t="shared" si="10"/>
        <v>250000</v>
      </c>
    </row>
    <row r="40" spans="1:214" s="52" customFormat="1" ht="48" customHeight="1">
      <c r="A40" s="26" t="s">
        <v>47</v>
      </c>
      <c r="B40" s="24" t="s">
        <v>60</v>
      </c>
      <c r="C40" s="25" t="s">
        <v>40</v>
      </c>
      <c r="D40" s="26">
        <v>2017</v>
      </c>
      <c r="E40" s="26">
        <v>2022</v>
      </c>
      <c r="F40" s="28">
        <v>639987</v>
      </c>
      <c r="G40" s="28">
        <v>0</v>
      </c>
      <c r="H40" s="28">
        <v>110000</v>
      </c>
      <c r="I40" s="28">
        <v>190000</v>
      </c>
      <c r="J40" s="28"/>
      <c r="K40" s="28"/>
      <c r="L40" s="28"/>
      <c r="M40" s="28"/>
      <c r="N40" s="28"/>
      <c r="O40" s="28"/>
      <c r="P40" s="27">
        <f t="shared" si="10"/>
        <v>300000</v>
      </c>
    </row>
    <row r="41" spans="1:214" s="52" customFormat="1" ht="37.5" customHeight="1">
      <c r="A41" s="26" t="s">
        <v>49</v>
      </c>
      <c r="B41" s="24" t="s">
        <v>63</v>
      </c>
      <c r="C41" s="25" t="s">
        <v>40</v>
      </c>
      <c r="D41" s="26">
        <v>2017</v>
      </c>
      <c r="E41" s="26">
        <v>2027</v>
      </c>
      <c r="F41" s="28">
        <v>700000</v>
      </c>
      <c r="G41" s="28">
        <v>100000</v>
      </c>
      <c r="H41" s="28">
        <v>0</v>
      </c>
      <c r="I41" s="28">
        <v>100000</v>
      </c>
      <c r="J41" s="28">
        <v>150000</v>
      </c>
      <c r="K41" s="28">
        <v>0</v>
      </c>
      <c r="L41" s="28">
        <v>0</v>
      </c>
      <c r="M41" s="28">
        <v>0</v>
      </c>
      <c r="N41" s="28">
        <v>150000</v>
      </c>
      <c r="O41" s="28"/>
      <c r="P41" s="27">
        <f t="shared" si="10"/>
        <v>500000</v>
      </c>
    </row>
    <row r="42" spans="1:214" s="52" customFormat="1" ht="33" customHeight="1">
      <c r="A42" s="26" t="s">
        <v>50</v>
      </c>
      <c r="B42" s="90" t="s">
        <v>67</v>
      </c>
      <c r="C42" s="25" t="s">
        <v>40</v>
      </c>
      <c r="D42" s="26">
        <v>2017</v>
      </c>
      <c r="E42" s="26">
        <v>2022</v>
      </c>
      <c r="F42" s="28">
        <f>1025000+100000</f>
        <v>1125000</v>
      </c>
      <c r="G42" s="28">
        <v>100000</v>
      </c>
      <c r="H42" s="28">
        <v>250000</v>
      </c>
      <c r="I42" s="28"/>
      <c r="J42" s="28"/>
      <c r="K42" s="28"/>
      <c r="L42" s="28"/>
      <c r="M42" s="28"/>
      <c r="N42" s="28"/>
      <c r="O42" s="28"/>
      <c r="P42" s="27">
        <f t="shared" si="10"/>
        <v>350000</v>
      </c>
    </row>
    <row r="43" spans="1:214" s="52" customFormat="1" ht="32.25" customHeight="1">
      <c r="A43" s="26" t="s">
        <v>52</v>
      </c>
      <c r="B43" s="38" t="s">
        <v>72</v>
      </c>
      <c r="C43" s="39" t="s">
        <v>40</v>
      </c>
      <c r="D43" s="40">
        <v>2017</v>
      </c>
      <c r="E43" s="26">
        <v>2023</v>
      </c>
      <c r="F43" s="41">
        <v>845000</v>
      </c>
      <c r="G43" s="41">
        <v>0</v>
      </c>
      <c r="H43" s="41">
        <v>0</v>
      </c>
      <c r="I43" s="41">
        <v>250000</v>
      </c>
      <c r="J43" s="41">
        <v>300000</v>
      </c>
      <c r="K43" s="41"/>
      <c r="L43" s="41"/>
      <c r="M43" s="41"/>
      <c r="N43" s="41"/>
      <c r="O43" s="41"/>
      <c r="P43" s="27">
        <f t="shared" si="10"/>
        <v>550000</v>
      </c>
    </row>
    <row r="44" spans="1:214" s="42" customFormat="1" ht="37.5" customHeight="1">
      <c r="A44" s="26" t="s">
        <v>53</v>
      </c>
      <c r="B44" s="166" t="s">
        <v>353</v>
      </c>
      <c r="C44" s="167" t="s">
        <v>74</v>
      </c>
      <c r="D44" s="26">
        <v>2018</v>
      </c>
      <c r="E44" s="26">
        <v>2024</v>
      </c>
      <c r="F44" s="28">
        <v>9484332</v>
      </c>
      <c r="G44" s="28">
        <v>0</v>
      </c>
      <c r="H44" s="28">
        <f>3500000+500000-100000-3900000</f>
        <v>0</v>
      </c>
      <c r="I44" s="28">
        <v>3900000</v>
      </c>
      <c r="J44" s="28">
        <v>3700000</v>
      </c>
      <c r="K44" s="28">
        <v>1800000</v>
      </c>
      <c r="L44" s="28"/>
      <c r="M44" s="28"/>
      <c r="N44" s="28"/>
      <c r="O44" s="28"/>
      <c r="P44" s="27">
        <f t="shared" si="10"/>
        <v>9400000</v>
      </c>
    </row>
    <row r="45" spans="1:214" s="42" customFormat="1" ht="36.75" customHeight="1">
      <c r="A45" s="26" t="s">
        <v>55</v>
      </c>
      <c r="B45" s="43" t="s">
        <v>82</v>
      </c>
      <c r="C45" s="25" t="s">
        <v>95</v>
      </c>
      <c r="D45" s="26">
        <v>2018</v>
      </c>
      <c r="E45" s="26">
        <v>2020</v>
      </c>
      <c r="F45" s="28">
        <v>3676150</v>
      </c>
      <c r="G45" s="28">
        <f>700000+910000+34000</f>
        <v>1644000</v>
      </c>
      <c r="H45" s="28"/>
      <c r="I45" s="28"/>
      <c r="J45" s="28"/>
      <c r="K45" s="28"/>
      <c r="L45" s="28"/>
      <c r="M45" s="28"/>
      <c r="N45" s="28"/>
      <c r="O45" s="28"/>
      <c r="P45" s="27">
        <f t="shared" si="10"/>
        <v>1644000</v>
      </c>
    </row>
    <row r="46" spans="1:214" s="52" customFormat="1" ht="36.75" customHeight="1">
      <c r="A46" s="26" t="s">
        <v>56</v>
      </c>
      <c r="B46" s="110" t="s">
        <v>78</v>
      </c>
      <c r="C46" s="111" t="s">
        <v>40</v>
      </c>
      <c r="D46" s="112">
        <v>2017</v>
      </c>
      <c r="E46" s="112">
        <v>2023</v>
      </c>
      <c r="F46" s="113">
        <v>850000</v>
      </c>
      <c r="G46" s="113">
        <v>0</v>
      </c>
      <c r="H46" s="113">
        <v>100000</v>
      </c>
      <c r="I46" s="113">
        <v>300000</v>
      </c>
      <c r="J46" s="113">
        <v>150000</v>
      </c>
      <c r="K46" s="113"/>
      <c r="L46" s="113"/>
      <c r="M46" s="113"/>
      <c r="N46" s="113"/>
      <c r="O46" s="113"/>
      <c r="P46" s="27">
        <f t="shared" si="10"/>
        <v>550000</v>
      </c>
    </row>
    <row r="47" spans="1:214" s="52" customFormat="1" ht="37.9" customHeight="1">
      <c r="A47" s="26" t="s">
        <v>57</v>
      </c>
      <c r="B47" s="44" t="s">
        <v>80</v>
      </c>
      <c r="C47" s="45" t="s">
        <v>40</v>
      </c>
      <c r="D47" s="26">
        <v>2017</v>
      </c>
      <c r="E47" s="26">
        <v>2021</v>
      </c>
      <c r="F47" s="97">
        <v>417266</v>
      </c>
      <c r="G47" s="46">
        <v>0</v>
      </c>
      <c r="H47" s="46">
        <v>60000</v>
      </c>
      <c r="I47" s="46"/>
      <c r="J47" s="46"/>
      <c r="K47" s="46"/>
      <c r="L47" s="46"/>
      <c r="M47" s="46"/>
      <c r="N47" s="46"/>
      <c r="O47" s="46"/>
      <c r="P47" s="27">
        <f t="shared" si="10"/>
        <v>60000</v>
      </c>
    </row>
    <row r="48" spans="1:214" s="52" customFormat="1" ht="37.9" customHeight="1">
      <c r="A48" s="26" t="s">
        <v>59</v>
      </c>
      <c r="B48" s="104" t="s">
        <v>81</v>
      </c>
      <c r="C48" s="105" t="s">
        <v>40</v>
      </c>
      <c r="D48" s="40">
        <v>2017</v>
      </c>
      <c r="E48" s="40">
        <v>2022</v>
      </c>
      <c r="F48" s="106">
        <v>329983</v>
      </c>
      <c r="G48" s="106">
        <v>0</v>
      </c>
      <c r="H48" s="106">
        <v>150000</v>
      </c>
      <c r="I48" s="106">
        <v>0</v>
      </c>
      <c r="J48" s="106"/>
      <c r="K48" s="106"/>
      <c r="L48" s="106"/>
      <c r="M48" s="106"/>
      <c r="N48" s="106"/>
      <c r="O48" s="106"/>
      <c r="P48" s="27">
        <f t="shared" si="10"/>
        <v>150000</v>
      </c>
    </row>
    <row r="49" spans="1:17" s="52" customFormat="1" ht="34.15" customHeight="1">
      <c r="A49" s="26" t="s">
        <v>61</v>
      </c>
      <c r="B49" s="43" t="s">
        <v>83</v>
      </c>
      <c r="C49" s="25" t="s">
        <v>40</v>
      </c>
      <c r="D49" s="26">
        <v>2018</v>
      </c>
      <c r="E49" s="40">
        <v>2021</v>
      </c>
      <c r="F49" s="47">
        <v>500000</v>
      </c>
      <c r="G49" s="47">
        <v>0</v>
      </c>
      <c r="H49" s="47">
        <v>200000</v>
      </c>
      <c r="I49" s="47"/>
      <c r="J49" s="47"/>
      <c r="K49" s="47"/>
      <c r="L49" s="47"/>
      <c r="M49" s="47"/>
      <c r="N49" s="47"/>
      <c r="O49" s="47"/>
      <c r="P49" s="27">
        <f t="shared" si="10"/>
        <v>200000</v>
      </c>
    </row>
    <row r="50" spans="1:17" s="52" customFormat="1" ht="32.450000000000003" customHeight="1">
      <c r="A50" s="26" t="s">
        <v>62</v>
      </c>
      <c r="B50" s="43" t="s">
        <v>84</v>
      </c>
      <c r="C50" s="25" t="s">
        <v>40</v>
      </c>
      <c r="D50" s="26">
        <v>2018</v>
      </c>
      <c r="E50" s="40">
        <v>2023</v>
      </c>
      <c r="F50" s="47">
        <v>360433</v>
      </c>
      <c r="G50" s="47">
        <v>100000</v>
      </c>
      <c r="H50" s="47">
        <v>0</v>
      </c>
      <c r="I50" s="47">
        <v>100000</v>
      </c>
      <c r="J50" s="47">
        <v>100000</v>
      </c>
      <c r="K50" s="47"/>
      <c r="L50" s="47"/>
      <c r="M50" s="47"/>
      <c r="N50" s="47"/>
      <c r="O50" s="47"/>
      <c r="P50" s="27">
        <f t="shared" si="10"/>
        <v>300000</v>
      </c>
      <c r="Q50" s="102"/>
    </row>
    <row r="51" spans="1:17" s="52" customFormat="1" ht="36" customHeight="1">
      <c r="A51" s="26" t="s">
        <v>64</v>
      </c>
      <c r="B51" s="48" t="s">
        <v>85</v>
      </c>
      <c r="C51" s="25" t="s">
        <v>40</v>
      </c>
      <c r="D51" s="26">
        <v>2018</v>
      </c>
      <c r="E51" s="26">
        <v>2027</v>
      </c>
      <c r="F51" s="47">
        <f>2189458+200000</f>
        <v>2389458</v>
      </c>
      <c r="G51" s="47">
        <v>200000</v>
      </c>
      <c r="H51" s="47">
        <v>200000</v>
      </c>
      <c r="I51" s="47">
        <v>200000</v>
      </c>
      <c r="J51" s="47">
        <v>200000</v>
      </c>
      <c r="K51" s="47">
        <v>250000</v>
      </c>
      <c r="L51" s="47">
        <v>250000</v>
      </c>
      <c r="M51" s="47">
        <v>200000</v>
      </c>
      <c r="N51" s="47">
        <v>200000</v>
      </c>
      <c r="O51" s="47"/>
      <c r="P51" s="27">
        <f>SUM(G51:O51)</f>
        <v>1700000</v>
      </c>
    </row>
    <row r="52" spans="1:17" s="52" customFormat="1" ht="39" customHeight="1">
      <c r="A52" s="26" t="s">
        <v>65</v>
      </c>
      <c r="B52" s="99" t="s">
        <v>86</v>
      </c>
      <c r="C52" s="39" t="s">
        <v>40</v>
      </c>
      <c r="D52" s="40">
        <v>2018</v>
      </c>
      <c r="E52" s="40">
        <v>2028</v>
      </c>
      <c r="F52" s="100">
        <f>640000+1700000+200000</f>
        <v>2540000</v>
      </c>
      <c r="G52" s="100">
        <v>200000</v>
      </c>
      <c r="H52" s="100">
        <v>200000</v>
      </c>
      <c r="I52" s="100">
        <v>150000</v>
      </c>
      <c r="J52" s="100">
        <v>200000</v>
      </c>
      <c r="K52" s="100">
        <v>250000</v>
      </c>
      <c r="L52" s="100">
        <v>250000</v>
      </c>
      <c r="M52" s="100">
        <v>250000</v>
      </c>
      <c r="N52" s="100">
        <v>200000</v>
      </c>
      <c r="O52" s="100">
        <v>200000</v>
      </c>
      <c r="P52" s="27">
        <f>SUM(G52:O52)</f>
        <v>1900000</v>
      </c>
    </row>
    <row r="53" spans="1:17" s="52" customFormat="1" ht="42" customHeight="1">
      <c r="A53" s="26" t="s">
        <v>66</v>
      </c>
      <c r="B53" s="93" t="s">
        <v>120</v>
      </c>
      <c r="C53" s="49" t="s">
        <v>40</v>
      </c>
      <c r="D53" s="50">
        <v>2018</v>
      </c>
      <c r="E53" s="50">
        <v>2020</v>
      </c>
      <c r="F53" s="59">
        <f>1110000+2844000+615000+50000</f>
        <v>4619000</v>
      </c>
      <c r="G53" s="51">
        <f>550000+615000+50000+1924000</f>
        <v>3139000</v>
      </c>
      <c r="H53" s="51"/>
      <c r="I53" s="51"/>
      <c r="J53" s="51"/>
      <c r="K53" s="51"/>
      <c r="L53" s="51"/>
      <c r="M53" s="51"/>
      <c r="N53" s="51"/>
      <c r="O53" s="51"/>
      <c r="P53" s="27">
        <f t="shared" si="10"/>
        <v>3139000</v>
      </c>
    </row>
    <row r="54" spans="1:17" s="52" customFormat="1" ht="37.9" customHeight="1">
      <c r="A54" s="26" t="s">
        <v>68</v>
      </c>
      <c r="B54" s="53" t="s">
        <v>87</v>
      </c>
      <c r="C54" s="54" t="s">
        <v>40</v>
      </c>
      <c r="D54" s="55">
        <v>2018</v>
      </c>
      <c r="E54" s="55">
        <v>2021</v>
      </c>
      <c r="F54" s="56">
        <v>200000</v>
      </c>
      <c r="G54" s="56">
        <v>0</v>
      </c>
      <c r="H54" s="56">
        <v>100000</v>
      </c>
      <c r="I54" s="56"/>
      <c r="J54" s="56"/>
      <c r="K54" s="56"/>
      <c r="L54" s="56"/>
      <c r="M54" s="56"/>
      <c r="N54" s="56"/>
      <c r="O54" s="56"/>
      <c r="P54" s="27">
        <f t="shared" si="10"/>
        <v>100000</v>
      </c>
    </row>
    <row r="55" spans="1:17" s="52" customFormat="1" ht="34.5" customHeight="1">
      <c r="A55" s="26" t="s">
        <v>69</v>
      </c>
      <c r="B55" s="43" t="s">
        <v>88</v>
      </c>
      <c r="C55" s="49" t="s">
        <v>40</v>
      </c>
      <c r="D55" s="50">
        <v>2018</v>
      </c>
      <c r="E55" s="50">
        <v>2021</v>
      </c>
      <c r="F55" s="51">
        <v>655931</v>
      </c>
      <c r="G55" s="51">
        <v>0</v>
      </c>
      <c r="H55" s="51">
        <v>300000</v>
      </c>
      <c r="I55" s="51"/>
      <c r="J55" s="51"/>
      <c r="K55" s="51"/>
      <c r="L55" s="51"/>
      <c r="M55" s="51"/>
      <c r="N55" s="51"/>
      <c r="O55" s="51"/>
      <c r="P55" s="27">
        <f t="shared" si="10"/>
        <v>300000</v>
      </c>
    </row>
    <row r="56" spans="1:17" s="52" customFormat="1" ht="39" customHeight="1">
      <c r="A56" s="26" t="s">
        <v>70</v>
      </c>
      <c r="B56" s="43" t="s">
        <v>89</v>
      </c>
      <c r="C56" s="49" t="s">
        <v>40</v>
      </c>
      <c r="D56" s="50">
        <v>2018</v>
      </c>
      <c r="E56" s="50">
        <v>2021</v>
      </c>
      <c r="F56" s="51">
        <f>450000+100000</f>
        <v>550000</v>
      </c>
      <c r="G56" s="51">
        <v>100000</v>
      </c>
      <c r="H56" s="51">
        <v>200000</v>
      </c>
      <c r="I56" s="51"/>
      <c r="J56" s="51"/>
      <c r="K56" s="51"/>
      <c r="L56" s="51"/>
      <c r="M56" s="51"/>
      <c r="N56" s="51"/>
      <c r="O56" s="51"/>
      <c r="P56" s="27">
        <f t="shared" si="10"/>
        <v>300000</v>
      </c>
    </row>
    <row r="57" spans="1:17" s="52" customFormat="1" ht="38.25" customHeight="1">
      <c r="A57" s="26" t="s">
        <v>71</v>
      </c>
      <c r="B57" s="57" t="s">
        <v>96</v>
      </c>
      <c r="C57" s="58" t="s">
        <v>40</v>
      </c>
      <c r="D57" s="50">
        <v>2018</v>
      </c>
      <c r="E57" s="50">
        <v>2021</v>
      </c>
      <c r="F57" s="51">
        <v>449409</v>
      </c>
      <c r="G57" s="51">
        <v>0</v>
      </c>
      <c r="H57" s="51">
        <v>160000</v>
      </c>
      <c r="I57" s="51"/>
      <c r="J57" s="51"/>
      <c r="K57" s="51"/>
      <c r="L57" s="51"/>
      <c r="M57" s="51"/>
      <c r="N57" s="51"/>
      <c r="O57" s="51"/>
      <c r="P57" s="27">
        <f t="shared" si="10"/>
        <v>160000</v>
      </c>
    </row>
    <row r="58" spans="1:17" s="52" customFormat="1" ht="36" customHeight="1">
      <c r="A58" s="26" t="s">
        <v>73</v>
      </c>
      <c r="B58" s="48" t="s">
        <v>90</v>
      </c>
      <c r="C58" s="49" t="s">
        <v>40</v>
      </c>
      <c r="D58" s="50">
        <v>2018</v>
      </c>
      <c r="E58" s="50">
        <v>2021</v>
      </c>
      <c r="F58" s="51">
        <v>220711</v>
      </c>
      <c r="G58" s="51">
        <v>0</v>
      </c>
      <c r="H58" s="51">
        <v>50000</v>
      </c>
      <c r="I58" s="51"/>
      <c r="J58" s="51"/>
      <c r="K58" s="51"/>
      <c r="L58" s="51"/>
      <c r="M58" s="51"/>
      <c r="N58" s="51"/>
      <c r="O58" s="51"/>
      <c r="P58" s="27">
        <f t="shared" si="10"/>
        <v>50000</v>
      </c>
    </row>
    <row r="59" spans="1:17" s="52" customFormat="1" ht="64.5" customHeight="1">
      <c r="A59" s="26" t="s">
        <v>75</v>
      </c>
      <c r="B59" s="168" t="s">
        <v>218</v>
      </c>
      <c r="C59" s="49" t="s">
        <v>40</v>
      </c>
      <c r="D59" s="26">
        <v>2018</v>
      </c>
      <c r="E59" s="26">
        <v>2021</v>
      </c>
      <c r="F59" s="59">
        <v>1739938</v>
      </c>
      <c r="G59" s="59">
        <v>0</v>
      </c>
      <c r="H59" s="59">
        <v>1690000</v>
      </c>
      <c r="I59" s="59"/>
      <c r="J59" s="59"/>
      <c r="K59" s="59"/>
      <c r="L59" s="59"/>
      <c r="M59" s="59"/>
      <c r="N59" s="59"/>
      <c r="O59" s="59"/>
      <c r="P59" s="27">
        <f t="shared" si="10"/>
        <v>1690000</v>
      </c>
      <c r="Q59" s="169"/>
    </row>
    <row r="60" spans="1:17" s="52" customFormat="1" ht="114" customHeight="1">
      <c r="A60" s="26" t="s">
        <v>76</v>
      </c>
      <c r="B60" s="160" t="s">
        <v>345</v>
      </c>
      <c r="C60" s="139" t="s">
        <v>24</v>
      </c>
      <c r="D60" s="26">
        <v>2020</v>
      </c>
      <c r="E60" s="26">
        <v>2022</v>
      </c>
      <c r="F60" s="98">
        <v>2500000</v>
      </c>
      <c r="G60" s="98">
        <v>500000</v>
      </c>
      <c r="H60" s="98">
        <v>1000000</v>
      </c>
      <c r="I60" s="98">
        <v>1000000</v>
      </c>
      <c r="J60" s="98"/>
      <c r="K60" s="98"/>
      <c r="L60" s="98"/>
      <c r="M60" s="98"/>
      <c r="N60" s="98"/>
      <c r="O60" s="98"/>
      <c r="P60" s="27">
        <f t="shared" si="10"/>
        <v>2500000</v>
      </c>
    </row>
    <row r="61" spans="1:17" s="52" customFormat="1" ht="47.25" customHeight="1">
      <c r="A61" s="26" t="s">
        <v>77</v>
      </c>
      <c r="B61" s="60" t="s">
        <v>108</v>
      </c>
      <c r="C61" s="61" t="s">
        <v>40</v>
      </c>
      <c r="D61" s="40">
        <v>2017</v>
      </c>
      <c r="E61" s="40">
        <v>2023</v>
      </c>
      <c r="F61" s="63">
        <v>647475</v>
      </c>
      <c r="G61" s="63">
        <v>0</v>
      </c>
      <c r="H61" s="63">
        <v>0</v>
      </c>
      <c r="I61" s="63">
        <v>150000</v>
      </c>
      <c r="J61" s="63">
        <v>150000</v>
      </c>
      <c r="K61" s="63"/>
      <c r="L61" s="63"/>
      <c r="M61" s="63"/>
      <c r="N61" s="63"/>
      <c r="O61" s="63"/>
      <c r="P61" s="27">
        <f t="shared" si="10"/>
        <v>300000</v>
      </c>
    </row>
    <row r="62" spans="1:17" s="52" customFormat="1" ht="50.25" customHeight="1">
      <c r="A62" s="26" t="s">
        <v>79</v>
      </c>
      <c r="B62" s="24" t="s">
        <v>113</v>
      </c>
      <c r="C62" s="61" t="s">
        <v>40</v>
      </c>
      <c r="D62" s="26">
        <v>2019</v>
      </c>
      <c r="E62" s="26">
        <v>2020</v>
      </c>
      <c r="F62" s="59">
        <f>90000-10000</f>
        <v>80000</v>
      </c>
      <c r="G62" s="59">
        <f>70000-10000</f>
        <v>60000</v>
      </c>
      <c r="H62" s="59"/>
      <c r="I62" s="59"/>
      <c r="J62" s="59"/>
      <c r="K62" s="59"/>
      <c r="L62" s="59"/>
      <c r="M62" s="59"/>
      <c r="N62" s="59"/>
      <c r="O62" s="63"/>
      <c r="P62" s="27">
        <f t="shared" si="10"/>
        <v>60000</v>
      </c>
    </row>
    <row r="63" spans="1:17" s="52" customFormat="1" ht="41.25" customHeight="1">
      <c r="A63" s="26" t="s">
        <v>91</v>
      </c>
      <c r="B63" s="90" t="s">
        <v>114</v>
      </c>
      <c r="C63" s="91" t="s">
        <v>107</v>
      </c>
      <c r="D63" s="40">
        <v>2019</v>
      </c>
      <c r="E63" s="40">
        <v>2020</v>
      </c>
      <c r="F63" s="63">
        <f>6500000+180000</f>
        <v>6680000</v>
      </c>
      <c r="G63" s="63">
        <v>2500000</v>
      </c>
      <c r="H63" s="63"/>
      <c r="I63" s="63"/>
      <c r="J63" s="63"/>
      <c r="K63" s="63"/>
      <c r="L63" s="63"/>
      <c r="M63" s="63"/>
      <c r="N63" s="63"/>
      <c r="O63" s="63"/>
      <c r="P63" s="27">
        <f t="shared" si="10"/>
        <v>2500000</v>
      </c>
    </row>
    <row r="64" spans="1:17" s="52" customFormat="1" ht="48" customHeight="1">
      <c r="A64" s="26" t="s">
        <v>92</v>
      </c>
      <c r="B64" s="62" t="s">
        <v>117</v>
      </c>
      <c r="C64" s="61" t="s">
        <v>40</v>
      </c>
      <c r="D64" s="40">
        <v>2019</v>
      </c>
      <c r="E64" s="40">
        <v>2020</v>
      </c>
      <c r="F64" s="63">
        <f>1901000+172252</f>
        <v>2073252</v>
      </c>
      <c r="G64" s="63">
        <f>1401000+172252</f>
        <v>1573252</v>
      </c>
      <c r="H64" s="63"/>
      <c r="I64" s="63"/>
      <c r="J64" s="63"/>
      <c r="K64" s="63"/>
      <c r="L64" s="63"/>
      <c r="M64" s="63"/>
      <c r="N64" s="63"/>
      <c r="O64" s="63"/>
      <c r="P64" s="27">
        <f t="shared" si="10"/>
        <v>1573252</v>
      </c>
    </row>
    <row r="65" spans="1:17" s="52" customFormat="1" ht="51.75" customHeight="1">
      <c r="A65" s="26" t="s">
        <v>93</v>
      </c>
      <c r="B65" s="92" t="s">
        <v>118</v>
      </c>
      <c r="C65" s="49" t="s">
        <v>40</v>
      </c>
      <c r="D65" s="94">
        <v>2017</v>
      </c>
      <c r="E65" s="94">
        <v>2020</v>
      </c>
      <c r="F65" s="59">
        <v>2106681</v>
      </c>
      <c r="G65" s="59">
        <f>949000+153946+850694</f>
        <v>1953640</v>
      </c>
      <c r="H65" s="59"/>
      <c r="I65" s="59"/>
      <c r="J65" s="59"/>
      <c r="K65" s="59"/>
      <c r="L65" s="59"/>
      <c r="M65" s="59"/>
      <c r="N65" s="59"/>
      <c r="O65" s="59"/>
      <c r="P65" s="27">
        <f t="shared" si="10"/>
        <v>1953640</v>
      </c>
    </row>
    <row r="66" spans="1:17" s="52" customFormat="1" ht="39" customHeight="1">
      <c r="A66" s="26" t="s">
        <v>94</v>
      </c>
      <c r="B66" s="170" t="s">
        <v>199</v>
      </c>
      <c r="C66" s="171" t="s">
        <v>40</v>
      </c>
      <c r="D66" s="162">
        <v>2019</v>
      </c>
      <c r="E66" s="162">
        <v>2023</v>
      </c>
      <c r="F66" s="172">
        <f>15000+75083+3500000+1400000+74175</f>
        <v>5064258</v>
      </c>
      <c r="G66" s="172">
        <f>49083+26000+1400000-1120000-207483+74175</f>
        <v>221775</v>
      </c>
      <c r="H66" s="172">
        <v>1000000</v>
      </c>
      <c r="I66" s="172">
        <v>2000000</v>
      </c>
      <c r="J66" s="172">
        <v>1827483</v>
      </c>
      <c r="K66" s="173"/>
      <c r="L66" s="173"/>
      <c r="M66" s="173"/>
      <c r="N66" s="173"/>
      <c r="O66" s="173"/>
      <c r="P66" s="27">
        <f t="shared" si="10"/>
        <v>5049258</v>
      </c>
    </row>
    <row r="67" spans="1:17" s="52" customFormat="1" ht="33.75" customHeight="1">
      <c r="A67" s="186" t="s">
        <v>102</v>
      </c>
      <c r="B67" s="187" t="s">
        <v>200</v>
      </c>
      <c r="C67" s="188" t="s">
        <v>40</v>
      </c>
      <c r="D67" s="189">
        <v>2018</v>
      </c>
      <c r="E67" s="189">
        <v>2021</v>
      </c>
      <c r="F67" s="190">
        <f>3834256-1113015-419864</f>
        <v>2301377</v>
      </c>
      <c r="G67" s="190">
        <f>2700600-1113015</f>
        <v>1587585</v>
      </c>
      <c r="H67" s="190">
        <f>1099400-419864</f>
        <v>679536</v>
      </c>
      <c r="I67" s="190"/>
      <c r="J67" s="190"/>
      <c r="K67" s="190"/>
      <c r="L67" s="190"/>
      <c r="M67" s="190"/>
      <c r="N67" s="190"/>
      <c r="O67" s="190"/>
      <c r="P67" s="191">
        <f t="shared" si="10"/>
        <v>2267121</v>
      </c>
      <c r="Q67" s="102"/>
    </row>
    <row r="68" spans="1:17" s="52" customFormat="1" ht="40.5" customHeight="1">
      <c r="A68" s="26" t="s">
        <v>109</v>
      </c>
      <c r="B68" s="64" t="s">
        <v>201</v>
      </c>
      <c r="C68" s="65" t="s">
        <v>202</v>
      </c>
      <c r="D68" s="66">
        <v>2020</v>
      </c>
      <c r="E68" s="66">
        <v>2024</v>
      </c>
      <c r="F68" s="115">
        <v>600000</v>
      </c>
      <c r="G68" s="115">
        <v>0</v>
      </c>
      <c r="H68" s="115">
        <v>50000</v>
      </c>
      <c r="I68" s="115">
        <v>200000</v>
      </c>
      <c r="J68" s="115">
        <v>350000</v>
      </c>
      <c r="K68" s="115">
        <v>0</v>
      </c>
      <c r="L68" s="115"/>
      <c r="M68" s="115"/>
      <c r="N68" s="115"/>
      <c r="O68" s="115"/>
      <c r="P68" s="27">
        <f t="shared" si="10"/>
        <v>600000</v>
      </c>
    </row>
    <row r="69" spans="1:17" s="52" customFormat="1" ht="32.25" customHeight="1">
      <c r="A69" s="26" t="s">
        <v>110</v>
      </c>
      <c r="B69" s="64" t="s">
        <v>203</v>
      </c>
      <c r="C69" s="65" t="s">
        <v>202</v>
      </c>
      <c r="D69" s="66">
        <v>2020</v>
      </c>
      <c r="E69" s="66">
        <v>2026</v>
      </c>
      <c r="F69" s="115">
        <v>800000</v>
      </c>
      <c r="G69" s="115">
        <v>0</v>
      </c>
      <c r="H69" s="115">
        <v>50000</v>
      </c>
      <c r="I69" s="115">
        <v>250000</v>
      </c>
      <c r="J69" s="115">
        <v>250000</v>
      </c>
      <c r="K69" s="115">
        <v>250000</v>
      </c>
      <c r="L69" s="115">
        <v>0</v>
      </c>
      <c r="M69" s="115">
        <v>0</v>
      </c>
      <c r="N69" s="115"/>
      <c r="O69" s="115"/>
      <c r="P69" s="27">
        <f t="shared" si="10"/>
        <v>800000</v>
      </c>
    </row>
    <row r="70" spans="1:17" s="52" customFormat="1" ht="35.25" customHeight="1">
      <c r="A70" s="26" t="s">
        <v>111</v>
      </c>
      <c r="B70" s="64" t="s">
        <v>204</v>
      </c>
      <c r="C70" s="65" t="s">
        <v>202</v>
      </c>
      <c r="D70" s="66">
        <v>2020</v>
      </c>
      <c r="E70" s="66">
        <v>2024</v>
      </c>
      <c r="F70" s="115">
        <v>1500000</v>
      </c>
      <c r="G70" s="115">
        <v>0</v>
      </c>
      <c r="H70" s="115">
        <v>80000</v>
      </c>
      <c r="I70" s="115">
        <v>0</v>
      </c>
      <c r="J70" s="115">
        <v>0</v>
      </c>
      <c r="K70" s="115">
        <v>1420000</v>
      </c>
      <c r="L70" s="115"/>
      <c r="M70" s="115"/>
      <c r="N70" s="115"/>
      <c r="O70" s="115"/>
      <c r="P70" s="27">
        <f t="shared" si="10"/>
        <v>1500000</v>
      </c>
    </row>
    <row r="71" spans="1:17" s="52" customFormat="1" ht="32.25" customHeight="1">
      <c r="A71" s="26" t="s">
        <v>112</v>
      </c>
      <c r="B71" s="64" t="s">
        <v>205</v>
      </c>
      <c r="C71" s="65" t="s">
        <v>202</v>
      </c>
      <c r="D71" s="66">
        <v>2020</v>
      </c>
      <c r="E71" s="66">
        <v>2024</v>
      </c>
      <c r="F71" s="115">
        <v>440000</v>
      </c>
      <c r="G71" s="115">
        <v>0</v>
      </c>
      <c r="H71" s="115">
        <v>40000</v>
      </c>
      <c r="I71" s="115">
        <v>150000</v>
      </c>
      <c r="J71" s="115">
        <v>150000</v>
      </c>
      <c r="K71" s="115">
        <v>100000</v>
      </c>
      <c r="L71" s="115"/>
      <c r="M71" s="115"/>
      <c r="N71" s="115"/>
      <c r="O71" s="115"/>
      <c r="P71" s="27">
        <f t="shared" si="10"/>
        <v>440000</v>
      </c>
    </row>
    <row r="72" spans="1:17" s="52" customFormat="1" ht="52.5" customHeight="1">
      <c r="A72" s="26" t="s">
        <v>115</v>
      </c>
      <c r="B72" s="64" t="s">
        <v>206</v>
      </c>
      <c r="C72" s="65" t="s">
        <v>202</v>
      </c>
      <c r="D72" s="66">
        <v>2020</v>
      </c>
      <c r="E72" s="66">
        <v>2025</v>
      </c>
      <c r="F72" s="115">
        <v>4500000</v>
      </c>
      <c r="G72" s="115">
        <v>0</v>
      </c>
      <c r="H72" s="115">
        <v>150000</v>
      </c>
      <c r="I72" s="115">
        <v>0</v>
      </c>
      <c r="J72" s="115">
        <v>1000000</v>
      </c>
      <c r="K72" s="115">
        <v>1500000</v>
      </c>
      <c r="L72" s="115">
        <v>1850000</v>
      </c>
      <c r="M72" s="115"/>
      <c r="N72" s="115"/>
      <c r="O72" s="115"/>
      <c r="P72" s="27">
        <f t="shared" si="10"/>
        <v>4500000</v>
      </c>
    </row>
    <row r="73" spans="1:17" s="52" customFormat="1" ht="50.25" customHeight="1">
      <c r="A73" s="26" t="s">
        <v>119</v>
      </c>
      <c r="B73" s="64" t="s">
        <v>207</v>
      </c>
      <c r="C73" s="65" t="s">
        <v>202</v>
      </c>
      <c r="D73" s="66">
        <v>2020</v>
      </c>
      <c r="E73" s="66">
        <v>2025</v>
      </c>
      <c r="F73" s="115">
        <v>3150000</v>
      </c>
      <c r="G73" s="115">
        <v>0</v>
      </c>
      <c r="H73" s="115">
        <v>150000</v>
      </c>
      <c r="I73" s="115">
        <v>500000</v>
      </c>
      <c r="J73" s="115">
        <v>500000</v>
      </c>
      <c r="K73" s="115">
        <v>1000000</v>
      </c>
      <c r="L73" s="115">
        <v>1000000</v>
      </c>
      <c r="M73" s="115"/>
      <c r="N73" s="115"/>
      <c r="O73" s="115"/>
      <c r="P73" s="27">
        <f t="shared" si="10"/>
        <v>3150000</v>
      </c>
    </row>
    <row r="74" spans="1:17" s="52" customFormat="1" ht="49.5" customHeight="1">
      <c r="A74" s="26" t="s">
        <v>122</v>
      </c>
      <c r="B74" s="64" t="s">
        <v>208</v>
      </c>
      <c r="C74" s="65" t="s">
        <v>202</v>
      </c>
      <c r="D74" s="66">
        <v>2020</v>
      </c>
      <c r="E74" s="66">
        <v>2024</v>
      </c>
      <c r="F74" s="115">
        <v>1270000</v>
      </c>
      <c r="G74" s="115">
        <v>0</v>
      </c>
      <c r="H74" s="115">
        <v>70000</v>
      </c>
      <c r="I74" s="115">
        <v>0</v>
      </c>
      <c r="J74" s="115">
        <v>600000</v>
      </c>
      <c r="K74" s="115">
        <v>600000</v>
      </c>
      <c r="L74" s="115"/>
      <c r="M74" s="115"/>
      <c r="N74" s="115"/>
      <c r="O74" s="115"/>
      <c r="P74" s="27">
        <f t="shared" si="10"/>
        <v>1270000</v>
      </c>
    </row>
    <row r="75" spans="1:17" s="52" customFormat="1" ht="47.25" customHeight="1">
      <c r="A75" s="26" t="s">
        <v>219</v>
      </c>
      <c r="B75" s="64" t="s">
        <v>209</v>
      </c>
      <c r="C75" s="65" t="s">
        <v>202</v>
      </c>
      <c r="D75" s="66">
        <v>2020</v>
      </c>
      <c r="E75" s="66">
        <v>2025</v>
      </c>
      <c r="F75" s="115">
        <v>2070000</v>
      </c>
      <c r="G75" s="115">
        <v>0</v>
      </c>
      <c r="H75" s="115">
        <v>70000</v>
      </c>
      <c r="I75" s="115">
        <v>0</v>
      </c>
      <c r="J75" s="115">
        <v>0</v>
      </c>
      <c r="K75" s="115">
        <v>0</v>
      </c>
      <c r="L75" s="115">
        <v>2000000</v>
      </c>
      <c r="M75" s="115"/>
      <c r="N75" s="115"/>
      <c r="O75" s="115"/>
      <c r="P75" s="27">
        <f t="shared" si="10"/>
        <v>2070000</v>
      </c>
    </row>
    <row r="76" spans="1:17" s="52" customFormat="1" ht="35.25" customHeight="1">
      <c r="A76" s="26" t="s">
        <v>220</v>
      </c>
      <c r="B76" s="64" t="s">
        <v>352</v>
      </c>
      <c r="C76" s="65" t="s">
        <v>202</v>
      </c>
      <c r="D76" s="66">
        <v>2020</v>
      </c>
      <c r="E76" s="66">
        <v>2024</v>
      </c>
      <c r="F76" s="115">
        <v>4500000</v>
      </c>
      <c r="G76" s="115">
        <v>0</v>
      </c>
      <c r="H76" s="115">
        <v>150000</v>
      </c>
      <c r="I76" s="115">
        <v>0</v>
      </c>
      <c r="J76" s="115">
        <v>2000000</v>
      </c>
      <c r="K76" s="115">
        <v>2350000</v>
      </c>
      <c r="L76" s="115"/>
      <c r="M76" s="115"/>
      <c r="N76" s="115"/>
      <c r="O76" s="115"/>
      <c r="P76" s="27">
        <f t="shared" si="10"/>
        <v>4500000</v>
      </c>
    </row>
    <row r="77" spans="1:17" s="52" customFormat="1" ht="51" customHeight="1">
      <c r="A77" s="26" t="s">
        <v>221</v>
      </c>
      <c r="B77" s="64" t="s">
        <v>210</v>
      </c>
      <c r="C77" s="65" t="s">
        <v>202</v>
      </c>
      <c r="D77" s="66">
        <v>2020</v>
      </c>
      <c r="E77" s="66">
        <v>2022</v>
      </c>
      <c r="F77" s="115">
        <v>150000</v>
      </c>
      <c r="G77" s="115">
        <v>0</v>
      </c>
      <c r="H77" s="115">
        <v>30000</v>
      </c>
      <c r="I77" s="115">
        <v>120000</v>
      </c>
      <c r="J77" s="115"/>
      <c r="K77" s="115"/>
      <c r="L77" s="115"/>
      <c r="M77" s="115"/>
      <c r="N77" s="115"/>
      <c r="O77" s="115"/>
      <c r="P77" s="27">
        <f t="shared" si="10"/>
        <v>150000</v>
      </c>
    </row>
    <row r="78" spans="1:17" s="52" customFormat="1" ht="30.75" customHeight="1">
      <c r="A78" s="26" t="s">
        <v>222</v>
      </c>
      <c r="B78" s="64" t="s">
        <v>211</v>
      </c>
      <c r="C78" s="65" t="s">
        <v>202</v>
      </c>
      <c r="D78" s="66">
        <v>2020</v>
      </c>
      <c r="E78" s="66">
        <v>2027</v>
      </c>
      <c r="F78" s="115">
        <v>790000</v>
      </c>
      <c r="G78" s="115">
        <v>0</v>
      </c>
      <c r="H78" s="115">
        <v>40000</v>
      </c>
      <c r="I78" s="115"/>
      <c r="J78" s="115">
        <v>250000</v>
      </c>
      <c r="K78" s="115">
        <v>250000</v>
      </c>
      <c r="L78" s="115">
        <v>250000</v>
      </c>
      <c r="M78" s="115">
        <v>0</v>
      </c>
      <c r="N78" s="115">
        <v>0</v>
      </c>
      <c r="O78" s="115"/>
      <c r="P78" s="27">
        <f t="shared" si="10"/>
        <v>790000</v>
      </c>
    </row>
    <row r="79" spans="1:17" s="52" customFormat="1" ht="32.25" customHeight="1">
      <c r="A79" s="26" t="s">
        <v>223</v>
      </c>
      <c r="B79" s="64" t="s">
        <v>212</v>
      </c>
      <c r="C79" s="65" t="s">
        <v>202</v>
      </c>
      <c r="D79" s="66">
        <v>2019</v>
      </c>
      <c r="E79" s="66">
        <v>2021</v>
      </c>
      <c r="F79" s="115">
        <v>350000</v>
      </c>
      <c r="G79" s="115">
        <v>0</v>
      </c>
      <c r="H79" s="115">
        <v>200000</v>
      </c>
      <c r="I79" s="115"/>
      <c r="J79" s="115"/>
      <c r="K79" s="115"/>
      <c r="L79" s="115"/>
      <c r="M79" s="115"/>
      <c r="N79" s="115"/>
      <c r="O79" s="115"/>
      <c r="P79" s="27">
        <f t="shared" si="10"/>
        <v>200000</v>
      </c>
    </row>
    <row r="80" spans="1:17" s="52" customFormat="1" ht="35.25" customHeight="1">
      <c r="A80" s="26" t="s">
        <v>224</v>
      </c>
      <c r="B80" s="64" t="s">
        <v>213</v>
      </c>
      <c r="C80" s="65" t="s">
        <v>202</v>
      </c>
      <c r="D80" s="66">
        <v>2020</v>
      </c>
      <c r="E80" s="66">
        <v>2026</v>
      </c>
      <c r="F80" s="115">
        <v>5200000</v>
      </c>
      <c r="G80" s="115">
        <v>0</v>
      </c>
      <c r="H80" s="115">
        <v>0</v>
      </c>
      <c r="I80" s="115">
        <v>0</v>
      </c>
      <c r="J80" s="115">
        <v>150000</v>
      </c>
      <c r="K80" s="115">
        <v>0</v>
      </c>
      <c r="L80" s="115">
        <v>2500000</v>
      </c>
      <c r="M80" s="115">
        <v>2550000</v>
      </c>
      <c r="N80" s="115"/>
      <c r="O80" s="115"/>
      <c r="P80" s="27">
        <f t="shared" si="10"/>
        <v>5200000</v>
      </c>
    </row>
    <row r="81" spans="1:16" s="52" customFormat="1" ht="38.25" customHeight="1">
      <c r="A81" s="26" t="s">
        <v>225</v>
      </c>
      <c r="B81" s="64" t="s">
        <v>214</v>
      </c>
      <c r="C81" s="65" t="s">
        <v>202</v>
      </c>
      <c r="D81" s="66">
        <v>2020</v>
      </c>
      <c r="E81" s="66">
        <v>2028</v>
      </c>
      <c r="F81" s="115">
        <v>2120000</v>
      </c>
      <c r="G81" s="115">
        <v>0</v>
      </c>
      <c r="H81" s="115">
        <v>0</v>
      </c>
      <c r="I81" s="115">
        <v>120000</v>
      </c>
      <c r="J81" s="115">
        <v>0</v>
      </c>
      <c r="K81" s="115">
        <v>0</v>
      </c>
      <c r="L81" s="115">
        <v>500000</v>
      </c>
      <c r="M81" s="115">
        <v>500000</v>
      </c>
      <c r="N81" s="115">
        <v>500000</v>
      </c>
      <c r="O81" s="115">
        <v>500000</v>
      </c>
      <c r="P81" s="27">
        <f t="shared" si="10"/>
        <v>2120000</v>
      </c>
    </row>
    <row r="82" spans="1:16" s="52" customFormat="1" ht="33.75" customHeight="1">
      <c r="A82" s="26" t="s">
        <v>226</v>
      </c>
      <c r="B82" s="64" t="s">
        <v>215</v>
      </c>
      <c r="C82" s="65" t="s">
        <v>202</v>
      </c>
      <c r="D82" s="66">
        <v>2020</v>
      </c>
      <c r="E82" s="66">
        <v>2025</v>
      </c>
      <c r="F82" s="115">
        <v>2100000</v>
      </c>
      <c r="G82" s="115">
        <v>0</v>
      </c>
      <c r="H82" s="115">
        <v>0</v>
      </c>
      <c r="I82" s="115">
        <v>100000</v>
      </c>
      <c r="J82" s="115">
        <v>0</v>
      </c>
      <c r="K82" s="115">
        <v>1000000</v>
      </c>
      <c r="L82" s="115">
        <v>1000000</v>
      </c>
      <c r="M82" s="115"/>
      <c r="N82" s="115"/>
      <c r="O82" s="115"/>
      <c r="P82" s="27">
        <f t="shared" si="10"/>
        <v>2100000</v>
      </c>
    </row>
    <row r="83" spans="1:16" s="52" customFormat="1" ht="30.75" customHeight="1">
      <c r="A83" s="26" t="s">
        <v>227</v>
      </c>
      <c r="B83" s="64" t="s">
        <v>216</v>
      </c>
      <c r="C83" s="65" t="s">
        <v>202</v>
      </c>
      <c r="D83" s="66">
        <v>2020</v>
      </c>
      <c r="E83" s="66">
        <v>2025</v>
      </c>
      <c r="F83" s="115">
        <v>750000</v>
      </c>
      <c r="G83" s="115">
        <v>0</v>
      </c>
      <c r="H83" s="115">
        <v>0</v>
      </c>
      <c r="I83" s="115">
        <v>100000</v>
      </c>
      <c r="J83" s="115">
        <v>0</v>
      </c>
      <c r="K83" s="115">
        <v>300000</v>
      </c>
      <c r="L83" s="115">
        <v>300000</v>
      </c>
      <c r="M83" s="115"/>
      <c r="N83" s="115"/>
      <c r="O83" s="115"/>
      <c r="P83" s="27">
        <f t="shared" si="10"/>
        <v>700000</v>
      </c>
    </row>
    <row r="84" spans="1:16" s="52" customFormat="1" ht="33" customHeight="1">
      <c r="A84" s="26" t="s">
        <v>228</v>
      </c>
      <c r="B84" s="175" t="s">
        <v>351</v>
      </c>
      <c r="C84" s="174" t="s">
        <v>202</v>
      </c>
      <c r="D84" s="163">
        <v>2020</v>
      </c>
      <c r="E84" s="163">
        <v>2025</v>
      </c>
      <c r="F84" s="176">
        <v>1560000</v>
      </c>
      <c r="G84" s="176">
        <v>0</v>
      </c>
      <c r="H84" s="176">
        <v>390000</v>
      </c>
      <c r="I84" s="176">
        <v>390000</v>
      </c>
      <c r="J84" s="176">
        <v>260000</v>
      </c>
      <c r="K84" s="176">
        <v>390000</v>
      </c>
      <c r="L84" s="176">
        <v>130000</v>
      </c>
      <c r="M84" s="176"/>
      <c r="N84" s="176"/>
      <c r="O84" s="176"/>
      <c r="P84" s="164">
        <f t="shared" si="10"/>
        <v>1560000</v>
      </c>
    </row>
    <row r="85" spans="1:16" s="52" customFormat="1" ht="42.75" customHeight="1">
      <c r="A85" s="68" t="s">
        <v>229</v>
      </c>
      <c r="B85" s="116" t="s">
        <v>230</v>
      </c>
      <c r="C85" s="87" t="s">
        <v>231</v>
      </c>
      <c r="D85" s="68">
        <v>2020</v>
      </c>
      <c r="E85" s="68">
        <v>2022</v>
      </c>
      <c r="F85" s="114">
        <v>2000000</v>
      </c>
      <c r="G85" s="101">
        <v>0</v>
      </c>
      <c r="H85" s="114">
        <v>2000000</v>
      </c>
      <c r="I85" s="114">
        <v>0</v>
      </c>
      <c r="J85" s="114">
        <v>0</v>
      </c>
      <c r="K85" s="114">
        <v>0</v>
      </c>
      <c r="L85" s="114">
        <v>0</v>
      </c>
      <c r="M85" s="114">
        <v>0</v>
      </c>
      <c r="N85" s="114">
        <v>0</v>
      </c>
      <c r="O85" s="114">
        <v>0</v>
      </c>
      <c r="P85" s="117">
        <f t="shared" si="10"/>
        <v>2000000</v>
      </c>
    </row>
    <row r="86" spans="1:16" s="52" customFormat="1" ht="36" customHeight="1">
      <c r="A86" s="68" t="s">
        <v>355</v>
      </c>
      <c r="B86" s="177" t="s">
        <v>354</v>
      </c>
      <c r="C86" s="65" t="s">
        <v>202</v>
      </c>
      <c r="D86" s="165">
        <v>2019</v>
      </c>
      <c r="E86" s="165">
        <v>2020</v>
      </c>
      <c r="F86" s="114">
        <f>144502+54650</f>
        <v>199152</v>
      </c>
      <c r="G86" s="114">
        <v>54650</v>
      </c>
      <c r="H86" s="114"/>
      <c r="I86" s="114"/>
      <c r="J86" s="114"/>
      <c r="K86" s="114"/>
      <c r="L86" s="114"/>
      <c r="M86" s="114"/>
      <c r="N86" s="114"/>
      <c r="O86" s="114"/>
      <c r="P86" s="117">
        <f t="shared" si="10"/>
        <v>54650</v>
      </c>
    </row>
    <row r="87" spans="1:16" s="52" customFormat="1">
      <c r="A87" s="161"/>
      <c r="C87" s="108"/>
      <c r="D87" s="161"/>
      <c r="E87" s="161"/>
      <c r="P87" s="21"/>
    </row>
    <row r="88" spans="1:16" s="52" customFormat="1">
      <c r="A88" s="161"/>
      <c r="C88" s="108"/>
      <c r="D88" s="161"/>
      <c r="E88" s="161"/>
      <c r="P88" s="21"/>
    </row>
    <row r="89" spans="1:16" s="52" customFormat="1">
      <c r="A89" s="161"/>
      <c r="C89" s="108"/>
      <c r="D89" s="161"/>
      <c r="E89" s="161"/>
      <c r="P89" s="21"/>
    </row>
    <row r="90" spans="1:16" s="52" customFormat="1">
      <c r="A90" s="161"/>
      <c r="C90" s="108"/>
      <c r="D90" s="161"/>
      <c r="E90" s="161"/>
      <c r="P90" s="21"/>
    </row>
    <row r="91" spans="1:16" s="52" customFormat="1">
      <c r="A91" s="161"/>
      <c r="C91" s="108"/>
      <c r="D91" s="161"/>
      <c r="E91" s="161"/>
      <c r="P91" s="21"/>
    </row>
    <row r="92" spans="1:16" s="52" customFormat="1">
      <c r="A92" s="161"/>
      <c r="C92" s="108"/>
      <c r="D92" s="161"/>
      <c r="E92" s="161"/>
      <c r="P92" s="21"/>
    </row>
    <row r="93" spans="1:16" s="52" customFormat="1">
      <c r="A93" s="161"/>
      <c r="C93" s="108"/>
      <c r="D93" s="161"/>
      <c r="E93" s="161"/>
      <c r="P93" s="21"/>
    </row>
    <row r="94" spans="1:16" s="52" customFormat="1">
      <c r="A94" s="161"/>
      <c r="C94" s="108"/>
      <c r="D94" s="161"/>
      <c r="E94" s="161"/>
      <c r="P94" s="21"/>
    </row>
    <row r="95" spans="1:16" s="52" customFormat="1">
      <c r="A95" s="161"/>
      <c r="C95" s="108"/>
      <c r="D95" s="161"/>
      <c r="E95" s="161"/>
      <c r="P95" s="21"/>
    </row>
    <row r="96" spans="1:16" s="52" customFormat="1">
      <c r="A96" s="161"/>
      <c r="C96" s="108"/>
      <c r="D96" s="161"/>
      <c r="E96" s="161"/>
      <c r="P96" s="21"/>
    </row>
    <row r="97" spans="1:16" s="52" customFormat="1">
      <c r="A97" s="161"/>
      <c r="C97" s="108"/>
      <c r="D97" s="161"/>
      <c r="E97" s="161"/>
      <c r="P97" s="21"/>
    </row>
    <row r="98" spans="1:16" s="52" customFormat="1">
      <c r="A98" s="161"/>
      <c r="C98" s="108"/>
      <c r="D98" s="161"/>
      <c r="E98" s="161"/>
      <c r="P98" s="21"/>
    </row>
    <row r="99" spans="1:16" s="52" customFormat="1">
      <c r="A99" s="161"/>
      <c r="C99" s="108"/>
      <c r="D99" s="161"/>
      <c r="E99" s="161"/>
      <c r="P99" s="21"/>
    </row>
    <row r="100" spans="1:16" s="52" customFormat="1">
      <c r="A100" s="161"/>
      <c r="C100" s="108"/>
      <c r="D100" s="161"/>
      <c r="E100" s="161"/>
      <c r="P100" s="21"/>
    </row>
    <row r="101" spans="1:16" s="52" customFormat="1">
      <c r="A101" s="161"/>
      <c r="C101" s="108"/>
      <c r="D101" s="161"/>
      <c r="E101" s="161"/>
      <c r="P101" s="21"/>
    </row>
    <row r="102" spans="1:16" s="52" customFormat="1">
      <c r="A102" s="161"/>
      <c r="C102" s="108"/>
      <c r="D102" s="161"/>
      <c r="E102" s="161"/>
      <c r="P102" s="21"/>
    </row>
    <row r="103" spans="1:16" s="52" customFormat="1">
      <c r="A103" s="161"/>
      <c r="C103" s="108"/>
      <c r="D103" s="161"/>
      <c r="E103" s="161"/>
      <c r="P103" s="21"/>
    </row>
    <row r="104" spans="1:16" s="52" customFormat="1">
      <c r="A104" s="161"/>
      <c r="C104" s="108"/>
      <c r="D104" s="161"/>
      <c r="E104" s="161"/>
      <c r="P104" s="21"/>
    </row>
    <row r="105" spans="1:16" s="52" customFormat="1">
      <c r="A105" s="161"/>
      <c r="C105" s="108"/>
      <c r="D105" s="161"/>
      <c r="E105" s="161"/>
      <c r="P105" s="21"/>
    </row>
    <row r="106" spans="1:16" s="52" customFormat="1">
      <c r="A106" s="161"/>
      <c r="C106" s="108"/>
      <c r="D106" s="161"/>
      <c r="E106" s="161"/>
      <c r="P106" s="21"/>
    </row>
    <row r="107" spans="1:16" s="52" customFormat="1">
      <c r="A107" s="161"/>
      <c r="C107" s="108"/>
      <c r="D107" s="161"/>
      <c r="E107" s="161"/>
      <c r="P107" s="21"/>
    </row>
    <row r="108" spans="1:16" s="52" customFormat="1">
      <c r="A108" s="161"/>
      <c r="C108" s="108"/>
      <c r="D108" s="161"/>
      <c r="E108" s="161"/>
      <c r="P108" s="21"/>
    </row>
    <row r="109" spans="1:16" s="52" customFormat="1">
      <c r="A109" s="161"/>
      <c r="C109" s="108"/>
      <c r="D109" s="161"/>
      <c r="E109" s="161"/>
      <c r="P109" s="21"/>
    </row>
    <row r="110" spans="1:16" s="52" customFormat="1">
      <c r="A110" s="161"/>
      <c r="C110" s="108"/>
      <c r="D110" s="161"/>
      <c r="E110" s="161"/>
      <c r="P110" s="21"/>
    </row>
    <row r="111" spans="1:16" s="52" customFormat="1">
      <c r="A111" s="161"/>
      <c r="C111" s="108"/>
      <c r="D111" s="161"/>
      <c r="E111" s="161"/>
      <c r="P111" s="21"/>
    </row>
    <row r="112" spans="1:16" s="52" customFormat="1">
      <c r="A112" s="161"/>
      <c r="C112" s="108"/>
      <c r="D112" s="161"/>
      <c r="E112" s="161"/>
      <c r="P112" s="21"/>
    </row>
    <row r="113" spans="1:16" s="52" customFormat="1">
      <c r="A113" s="161"/>
      <c r="C113" s="108"/>
      <c r="D113" s="161"/>
      <c r="E113" s="161"/>
      <c r="P113" s="21"/>
    </row>
    <row r="114" spans="1:16" s="52" customFormat="1">
      <c r="A114" s="161"/>
      <c r="C114" s="108"/>
      <c r="D114" s="161"/>
      <c r="E114" s="161"/>
      <c r="P114" s="21"/>
    </row>
    <row r="115" spans="1:16" s="52" customFormat="1">
      <c r="A115" s="161"/>
      <c r="C115" s="108"/>
      <c r="D115" s="161"/>
      <c r="E115" s="161"/>
      <c r="P115" s="21"/>
    </row>
    <row r="116" spans="1:16" s="52" customFormat="1">
      <c r="A116" s="161"/>
      <c r="C116" s="108"/>
      <c r="D116" s="161"/>
      <c r="E116" s="161"/>
      <c r="P116" s="21"/>
    </row>
    <row r="117" spans="1:16" s="52" customFormat="1">
      <c r="A117" s="161"/>
      <c r="C117" s="108"/>
      <c r="D117" s="161"/>
      <c r="E117" s="161"/>
      <c r="P117" s="21"/>
    </row>
    <row r="118" spans="1:16" s="52" customFormat="1">
      <c r="A118" s="161"/>
      <c r="C118" s="108"/>
      <c r="D118" s="161"/>
      <c r="E118" s="161"/>
      <c r="P118" s="21"/>
    </row>
    <row r="119" spans="1:16" s="52" customFormat="1">
      <c r="A119" s="161"/>
      <c r="C119" s="108"/>
      <c r="D119" s="161"/>
      <c r="E119" s="161"/>
      <c r="P119" s="21"/>
    </row>
    <row r="120" spans="1:16" s="52" customFormat="1">
      <c r="A120" s="161"/>
      <c r="C120" s="108"/>
      <c r="D120" s="161"/>
      <c r="E120" s="161"/>
      <c r="P120" s="21"/>
    </row>
    <row r="121" spans="1:16" s="52" customFormat="1">
      <c r="A121" s="161"/>
      <c r="C121" s="108"/>
      <c r="D121" s="161"/>
      <c r="E121" s="161"/>
      <c r="P121" s="21"/>
    </row>
    <row r="122" spans="1:16" s="52" customFormat="1">
      <c r="A122" s="161"/>
      <c r="C122" s="108"/>
      <c r="D122" s="161"/>
      <c r="E122" s="161"/>
      <c r="P122" s="21"/>
    </row>
    <row r="123" spans="1:16" s="52" customFormat="1">
      <c r="A123" s="161"/>
      <c r="C123" s="108"/>
      <c r="D123" s="161"/>
      <c r="E123" s="161"/>
      <c r="P123" s="21"/>
    </row>
    <row r="124" spans="1:16" s="52" customFormat="1">
      <c r="A124" s="161"/>
      <c r="C124" s="108"/>
      <c r="D124" s="161"/>
      <c r="E124" s="161"/>
      <c r="P124" s="21"/>
    </row>
    <row r="125" spans="1:16" s="52" customFormat="1">
      <c r="A125" s="161"/>
      <c r="C125" s="108"/>
      <c r="D125" s="161"/>
      <c r="E125" s="161"/>
      <c r="P125" s="21"/>
    </row>
    <row r="126" spans="1:16" s="52" customFormat="1">
      <c r="A126" s="161"/>
      <c r="C126" s="108"/>
      <c r="D126" s="161"/>
      <c r="E126" s="161"/>
      <c r="P126" s="21"/>
    </row>
    <row r="127" spans="1:16" s="52" customFormat="1">
      <c r="A127" s="161"/>
      <c r="C127" s="108"/>
      <c r="D127" s="161"/>
      <c r="E127" s="161"/>
      <c r="P127" s="21"/>
    </row>
    <row r="128" spans="1:16" s="52" customFormat="1">
      <c r="A128" s="161"/>
      <c r="C128" s="108"/>
      <c r="D128" s="161"/>
      <c r="E128" s="161"/>
      <c r="P128" s="21"/>
    </row>
    <row r="129" spans="1:16" s="52" customFormat="1">
      <c r="A129" s="161"/>
      <c r="C129" s="108"/>
      <c r="D129" s="161"/>
      <c r="E129" s="161"/>
      <c r="P129" s="21"/>
    </row>
    <row r="130" spans="1:16" s="52" customFormat="1">
      <c r="A130" s="161"/>
      <c r="C130" s="108"/>
      <c r="D130" s="161"/>
      <c r="E130" s="161"/>
      <c r="P130" s="21"/>
    </row>
    <row r="131" spans="1:16" s="52" customFormat="1">
      <c r="A131" s="161"/>
      <c r="C131" s="108"/>
      <c r="D131" s="161"/>
      <c r="E131" s="161"/>
      <c r="P131" s="21"/>
    </row>
    <row r="132" spans="1:16" s="52" customFormat="1">
      <c r="A132" s="161"/>
      <c r="C132" s="108"/>
      <c r="D132" s="161"/>
      <c r="E132" s="161"/>
      <c r="P132" s="21"/>
    </row>
    <row r="133" spans="1:16" s="52" customFormat="1">
      <c r="A133" s="161"/>
      <c r="C133" s="108"/>
      <c r="D133" s="161"/>
      <c r="E133" s="161"/>
      <c r="P133" s="21"/>
    </row>
    <row r="134" spans="1:16" s="52" customFormat="1">
      <c r="A134" s="161"/>
      <c r="C134" s="108"/>
      <c r="D134" s="161"/>
      <c r="E134" s="161"/>
      <c r="P134" s="21"/>
    </row>
    <row r="135" spans="1:16" s="52" customFormat="1">
      <c r="A135" s="161"/>
      <c r="C135" s="108"/>
      <c r="D135" s="161"/>
      <c r="E135" s="161"/>
      <c r="P135" s="21"/>
    </row>
    <row r="136" spans="1:16" s="52" customFormat="1">
      <c r="A136" s="161"/>
      <c r="C136" s="108"/>
      <c r="D136" s="161"/>
      <c r="E136" s="161"/>
      <c r="P136" s="21"/>
    </row>
    <row r="137" spans="1:16" s="52" customFormat="1">
      <c r="A137" s="161"/>
      <c r="C137" s="108"/>
      <c r="D137" s="161"/>
      <c r="E137" s="161"/>
      <c r="P137" s="21"/>
    </row>
    <row r="138" spans="1:16" s="52" customFormat="1">
      <c r="A138" s="161"/>
      <c r="C138" s="108"/>
      <c r="D138" s="161"/>
      <c r="E138" s="161"/>
      <c r="P138" s="21"/>
    </row>
    <row r="139" spans="1:16" s="52" customFormat="1">
      <c r="A139" s="161"/>
      <c r="C139" s="108"/>
      <c r="D139" s="161"/>
      <c r="E139" s="161"/>
      <c r="P139" s="21"/>
    </row>
    <row r="140" spans="1:16" s="52" customFormat="1">
      <c r="A140" s="161"/>
      <c r="C140" s="108"/>
      <c r="D140" s="161"/>
      <c r="E140" s="161"/>
      <c r="P140" s="21"/>
    </row>
    <row r="141" spans="1:16" s="52" customFormat="1">
      <c r="A141" s="161"/>
      <c r="C141" s="108"/>
      <c r="D141" s="161"/>
      <c r="E141" s="161"/>
      <c r="P141" s="21"/>
    </row>
    <row r="142" spans="1:16" s="52" customFormat="1">
      <c r="A142" s="161"/>
      <c r="C142" s="108"/>
      <c r="D142" s="161"/>
      <c r="E142" s="161"/>
      <c r="P142" s="21"/>
    </row>
    <row r="143" spans="1:16" s="52" customFormat="1">
      <c r="A143" s="161"/>
      <c r="C143" s="108"/>
      <c r="D143" s="161"/>
      <c r="E143" s="161"/>
      <c r="P143" s="21"/>
    </row>
    <row r="144" spans="1:16" s="52" customFormat="1">
      <c r="A144" s="161"/>
      <c r="C144" s="108"/>
      <c r="D144" s="161"/>
      <c r="E144" s="161"/>
      <c r="P144" s="21"/>
    </row>
    <row r="145" spans="1:16" s="52" customFormat="1">
      <c r="A145" s="161"/>
      <c r="C145" s="108"/>
      <c r="D145" s="161"/>
      <c r="E145" s="161"/>
      <c r="P145" s="21"/>
    </row>
    <row r="146" spans="1:16" s="52" customFormat="1">
      <c r="A146" s="161"/>
      <c r="C146" s="108"/>
      <c r="D146" s="161"/>
      <c r="E146" s="161"/>
      <c r="P146" s="21"/>
    </row>
    <row r="147" spans="1:16" s="52" customFormat="1">
      <c r="A147" s="161"/>
      <c r="C147" s="108"/>
      <c r="D147" s="161"/>
      <c r="E147" s="161"/>
      <c r="P147" s="21"/>
    </row>
    <row r="148" spans="1:16" s="52" customFormat="1">
      <c r="A148" s="161"/>
      <c r="C148" s="108"/>
      <c r="D148" s="161"/>
      <c r="E148" s="161"/>
      <c r="P148" s="21"/>
    </row>
    <row r="149" spans="1:16" s="52" customFormat="1">
      <c r="A149" s="161"/>
      <c r="C149" s="108"/>
      <c r="D149" s="161"/>
      <c r="E149" s="161"/>
      <c r="P149" s="21"/>
    </row>
    <row r="150" spans="1:16" s="52" customFormat="1">
      <c r="A150" s="161"/>
      <c r="C150" s="108"/>
      <c r="D150" s="161"/>
      <c r="E150" s="161"/>
      <c r="P150" s="21"/>
    </row>
    <row r="151" spans="1:16" s="52" customFormat="1">
      <c r="A151" s="161"/>
      <c r="C151" s="108"/>
      <c r="D151" s="161"/>
      <c r="E151" s="161"/>
      <c r="P151" s="21"/>
    </row>
    <row r="152" spans="1:16" s="52" customFormat="1">
      <c r="A152" s="161"/>
      <c r="C152" s="108"/>
      <c r="D152" s="161"/>
      <c r="E152" s="161"/>
      <c r="P152" s="21"/>
    </row>
    <row r="153" spans="1:16" s="52" customFormat="1">
      <c r="A153" s="161"/>
      <c r="C153" s="108"/>
      <c r="D153" s="161"/>
      <c r="E153" s="161"/>
      <c r="P153" s="21"/>
    </row>
    <row r="154" spans="1:16" s="52" customFormat="1">
      <c r="A154" s="161"/>
      <c r="C154" s="108"/>
      <c r="D154" s="161"/>
      <c r="E154" s="161"/>
      <c r="P154" s="21"/>
    </row>
    <row r="155" spans="1:16" s="52" customFormat="1">
      <c r="A155" s="161"/>
      <c r="C155" s="108"/>
      <c r="D155" s="161"/>
      <c r="E155" s="161"/>
      <c r="P155" s="21"/>
    </row>
    <row r="156" spans="1:16" s="52" customFormat="1">
      <c r="A156" s="161"/>
      <c r="C156" s="108"/>
      <c r="D156" s="161"/>
      <c r="E156" s="161"/>
      <c r="P156" s="21"/>
    </row>
    <row r="157" spans="1:16" s="52" customFormat="1">
      <c r="A157" s="161"/>
      <c r="C157" s="108"/>
      <c r="D157" s="161"/>
      <c r="E157" s="161"/>
      <c r="P157" s="21"/>
    </row>
    <row r="158" spans="1:16" s="52" customFormat="1">
      <c r="A158" s="161"/>
      <c r="C158" s="108"/>
      <c r="D158" s="161"/>
      <c r="E158" s="161"/>
      <c r="P158" s="21"/>
    </row>
    <row r="159" spans="1:16" s="52" customFormat="1">
      <c r="A159" s="161"/>
      <c r="C159" s="108"/>
      <c r="D159" s="161"/>
      <c r="E159" s="161"/>
      <c r="P159" s="21"/>
    </row>
    <row r="160" spans="1:16" s="52" customFormat="1">
      <c r="A160" s="161"/>
      <c r="C160" s="108"/>
      <c r="D160" s="161"/>
      <c r="E160" s="161"/>
      <c r="P160" s="21"/>
    </row>
    <row r="161" spans="1:16" s="52" customFormat="1">
      <c r="A161" s="161"/>
      <c r="C161" s="108"/>
      <c r="D161" s="161"/>
      <c r="E161" s="161"/>
      <c r="P161" s="21"/>
    </row>
    <row r="162" spans="1:16" s="52" customFormat="1">
      <c r="A162" s="161"/>
      <c r="C162" s="108"/>
      <c r="D162" s="161"/>
      <c r="E162" s="161"/>
      <c r="P162" s="21"/>
    </row>
    <row r="163" spans="1:16" s="52" customFormat="1">
      <c r="A163" s="161"/>
      <c r="C163" s="108"/>
      <c r="D163" s="161"/>
      <c r="E163" s="161"/>
      <c r="P163" s="21"/>
    </row>
    <row r="164" spans="1:16" s="52" customFormat="1">
      <c r="A164" s="161"/>
      <c r="C164" s="108"/>
      <c r="D164" s="161"/>
      <c r="E164" s="161"/>
      <c r="P164" s="21"/>
    </row>
    <row r="165" spans="1:16" s="52" customFormat="1">
      <c r="A165" s="161"/>
      <c r="C165" s="108"/>
      <c r="D165" s="161"/>
      <c r="E165" s="161"/>
      <c r="P165" s="21"/>
    </row>
    <row r="166" spans="1:16" s="52" customFormat="1">
      <c r="A166" s="161"/>
      <c r="C166" s="108"/>
      <c r="D166" s="161"/>
      <c r="E166" s="161"/>
      <c r="P166" s="21"/>
    </row>
    <row r="167" spans="1:16" s="52" customFormat="1">
      <c r="A167" s="161"/>
      <c r="C167" s="108"/>
      <c r="D167" s="161"/>
      <c r="E167" s="161"/>
      <c r="P167" s="21"/>
    </row>
    <row r="168" spans="1:16" s="52" customFormat="1">
      <c r="A168" s="161"/>
      <c r="C168" s="108"/>
      <c r="D168" s="161"/>
      <c r="E168" s="161"/>
      <c r="P168" s="21"/>
    </row>
    <row r="169" spans="1:16" s="52" customFormat="1">
      <c r="A169" s="161"/>
      <c r="C169" s="108"/>
      <c r="D169" s="161"/>
      <c r="E169" s="161"/>
      <c r="P169" s="21"/>
    </row>
    <row r="170" spans="1:16" s="52" customFormat="1">
      <c r="A170" s="161"/>
      <c r="C170" s="108"/>
      <c r="D170" s="161"/>
      <c r="E170" s="161"/>
      <c r="P170" s="21"/>
    </row>
    <row r="171" spans="1:16" s="52" customFormat="1">
      <c r="A171" s="161"/>
      <c r="C171" s="108"/>
      <c r="D171" s="161"/>
      <c r="E171" s="161"/>
      <c r="P171" s="21"/>
    </row>
    <row r="172" spans="1:16" s="52" customFormat="1">
      <c r="A172" s="161"/>
      <c r="C172" s="108"/>
      <c r="D172" s="161"/>
      <c r="E172" s="161"/>
      <c r="P172" s="21"/>
    </row>
    <row r="173" spans="1:16" s="52" customFormat="1">
      <c r="A173" s="161"/>
      <c r="C173" s="108"/>
      <c r="D173" s="161"/>
      <c r="E173" s="161"/>
      <c r="P173" s="21"/>
    </row>
    <row r="174" spans="1:16" s="52" customFormat="1">
      <c r="A174" s="161"/>
      <c r="C174" s="108"/>
      <c r="D174" s="161"/>
      <c r="E174" s="161"/>
      <c r="P174" s="21"/>
    </row>
    <row r="175" spans="1:16" s="52" customFormat="1">
      <c r="A175" s="161"/>
      <c r="C175" s="108"/>
      <c r="D175" s="161"/>
      <c r="E175" s="161"/>
      <c r="P175" s="21"/>
    </row>
    <row r="176" spans="1:16" s="52" customFormat="1">
      <c r="A176" s="161"/>
      <c r="C176" s="108"/>
      <c r="D176" s="161"/>
      <c r="E176" s="161"/>
      <c r="P176" s="21"/>
    </row>
    <row r="177" spans="1:16" s="52" customFormat="1">
      <c r="A177" s="161"/>
      <c r="C177" s="108"/>
      <c r="D177" s="161"/>
      <c r="E177" s="161"/>
      <c r="P177" s="21"/>
    </row>
    <row r="178" spans="1:16" s="52" customFormat="1">
      <c r="A178" s="161"/>
      <c r="C178" s="108"/>
      <c r="D178" s="161"/>
      <c r="E178" s="161"/>
      <c r="P178" s="21"/>
    </row>
    <row r="179" spans="1:16" s="52" customFormat="1">
      <c r="A179" s="161"/>
      <c r="C179" s="108"/>
      <c r="D179" s="161"/>
      <c r="E179" s="161"/>
      <c r="P179" s="21"/>
    </row>
    <row r="180" spans="1:16" s="52" customFormat="1">
      <c r="A180" s="161"/>
      <c r="C180" s="108"/>
      <c r="D180" s="161"/>
      <c r="E180" s="161"/>
      <c r="P180" s="21"/>
    </row>
    <row r="181" spans="1:16" s="52" customFormat="1">
      <c r="A181" s="161"/>
      <c r="C181" s="108"/>
      <c r="D181" s="161"/>
      <c r="E181" s="161"/>
      <c r="P181" s="21"/>
    </row>
    <row r="182" spans="1:16" s="52" customFormat="1">
      <c r="A182" s="161"/>
      <c r="C182" s="108"/>
      <c r="D182" s="161"/>
      <c r="E182" s="161"/>
      <c r="P182" s="21"/>
    </row>
    <row r="183" spans="1:16" s="52" customFormat="1">
      <c r="A183" s="161"/>
      <c r="C183" s="108"/>
      <c r="D183" s="161"/>
      <c r="E183" s="161"/>
      <c r="P183" s="21"/>
    </row>
    <row r="184" spans="1:16" s="52" customFormat="1">
      <c r="A184" s="161"/>
      <c r="C184" s="108"/>
      <c r="D184" s="161"/>
      <c r="E184" s="161"/>
      <c r="P184" s="21"/>
    </row>
    <row r="185" spans="1:16" s="52" customFormat="1">
      <c r="A185" s="161"/>
      <c r="C185" s="108"/>
      <c r="D185" s="161"/>
      <c r="E185" s="161"/>
      <c r="P185" s="21"/>
    </row>
    <row r="186" spans="1:16" s="52" customFormat="1">
      <c r="A186" s="161"/>
      <c r="C186" s="108"/>
      <c r="D186" s="161"/>
      <c r="E186" s="161"/>
      <c r="P186" s="21"/>
    </row>
    <row r="187" spans="1:16" s="52" customFormat="1">
      <c r="A187" s="161"/>
      <c r="C187" s="108"/>
      <c r="D187" s="161"/>
      <c r="E187" s="161"/>
      <c r="P187" s="21"/>
    </row>
    <row r="188" spans="1:16" s="52" customFormat="1">
      <c r="A188" s="161"/>
      <c r="C188" s="108"/>
      <c r="D188" s="161"/>
      <c r="E188" s="161"/>
      <c r="P188" s="21"/>
    </row>
    <row r="189" spans="1:16" s="52" customFormat="1">
      <c r="A189" s="161"/>
      <c r="C189" s="108"/>
      <c r="D189" s="161"/>
      <c r="E189" s="161"/>
      <c r="P189" s="21"/>
    </row>
    <row r="190" spans="1:16" s="52" customFormat="1">
      <c r="A190" s="161"/>
      <c r="C190" s="108"/>
      <c r="D190" s="161"/>
      <c r="E190" s="161"/>
      <c r="P190" s="21"/>
    </row>
    <row r="191" spans="1:16" s="52" customFormat="1">
      <c r="A191" s="161"/>
      <c r="C191" s="108"/>
      <c r="D191" s="161"/>
      <c r="E191" s="161"/>
      <c r="P191" s="21"/>
    </row>
    <row r="192" spans="1:16" s="52" customFormat="1">
      <c r="A192" s="161"/>
      <c r="C192" s="108"/>
      <c r="D192" s="161"/>
      <c r="E192" s="161"/>
      <c r="P192" s="21"/>
    </row>
    <row r="193" spans="1:16" s="52" customFormat="1">
      <c r="A193" s="161"/>
      <c r="C193" s="108"/>
      <c r="D193" s="161"/>
      <c r="E193" s="161"/>
      <c r="P193" s="21"/>
    </row>
    <row r="194" spans="1:16" s="52" customFormat="1">
      <c r="A194" s="161"/>
      <c r="C194" s="108"/>
      <c r="D194" s="161"/>
      <c r="E194" s="161"/>
      <c r="P194" s="21"/>
    </row>
    <row r="195" spans="1:16" s="52" customFormat="1">
      <c r="A195" s="161"/>
      <c r="C195" s="108"/>
      <c r="D195" s="161"/>
      <c r="E195" s="161"/>
      <c r="P195" s="21"/>
    </row>
    <row r="196" spans="1:16" s="52" customFormat="1">
      <c r="A196" s="161"/>
      <c r="C196" s="108"/>
      <c r="D196" s="161"/>
      <c r="E196" s="161"/>
      <c r="P196" s="21"/>
    </row>
    <row r="197" spans="1:16" s="52" customFormat="1">
      <c r="A197" s="161"/>
      <c r="C197" s="108"/>
      <c r="D197" s="161"/>
      <c r="E197" s="161"/>
      <c r="P197" s="21"/>
    </row>
    <row r="198" spans="1:16" s="52" customFormat="1">
      <c r="A198" s="161"/>
      <c r="C198" s="108"/>
      <c r="D198" s="161"/>
      <c r="E198" s="161"/>
      <c r="P198" s="21"/>
    </row>
    <row r="199" spans="1:16" s="52" customFormat="1">
      <c r="A199" s="161"/>
      <c r="C199" s="108"/>
      <c r="D199" s="161"/>
      <c r="E199" s="161"/>
      <c r="P199" s="21"/>
    </row>
    <row r="200" spans="1:16" s="52" customFormat="1">
      <c r="A200" s="161"/>
      <c r="C200" s="108"/>
      <c r="D200" s="161"/>
      <c r="E200" s="161"/>
      <c r="P200" s="21"/>
    </row>
    <row r="201" spans="1:16" s="52" customFormat="1">
      <c r="A201" s="161"/>
      <c r="C201" s="108"/>
      <c r="D201" s="161"/>
      <c r="E201" s="161"/>
      <c r="P201" s="21"/>
    </row>
    <row r="202" spans="1:16" s="52" customFormat="1">
      <c r="A202" s="161"/>
      <c r="C202" s="108"/>
      <c r="D202" s="161"/>
      <c r="E202" s="161"/>
      <c r="P202" s="21"/>
    </row>
    <row r="203" spans="1:16" s="52" customFormat="1">
      <c r="A203" s="161"/>
      <c r="C203" s="108"/>
      <c r="D203" s="161"/>
      <c r="E203" s="161"/>
      <c r="P203" s="21"/>
    </row>
    <row r="204" spans="1:16" s="52" customFormat="1">
      <c r="A204" s="161"/>
      <c r="C204" s="108"/>
      <c r="D204" s="161"/>
      <c r="E204" s="161"/>
      <c r="P204" s="21"/>
    </row>
    <row r="205" spans="1:16" s="52" customFormat="1">
      <c r="A205" s="161"/>
      <c r="C205" s="108"/>
      <c r="D205" s="161"/>
      <c r="E205" s="161"/>
      <c r="P205" s="21"/>
    </row>
    <row r="206" spans="1:16" s="52" customFormat="1">
      <c r="A206" s="161"/>
      <c r="C206" s="108"/>
      <c r="D206" s="161"/>
      <c r="E206" s="161"/>
      <c r="P206" s="21"/>
    </row>
    <row r="207" spans="1:16" s="52" customFormat="1">
      <c r="A207" s="161"/>
      <c r="C207" s="108"/>
      <c r="D207" s="161"/>
      <c r="E207" s="161"/>
      <c r="P207" s="21"/>
    </row>
    <row r="208" spans="1:16" s="52" customFormat="1">
      <c r="A208" s="161"/>
      <c r="C208" s="108"/>
      <c r="D208" s="161"/>
      <c r="E208" s="161"/>
      <c r="P208" s="21"/>
    </row>
    <row r="209" spans="1:16" s="52" customFormat="1">
      <c r="A209" s="161"/>
      <c r="C209" s="108"/>
      <c r="D209" s="161"/>
      <c r="E209" s="161"/>
      <c r="P209" s="21"/>
    </row>
    <row r="210" spans="1:16" s="52" customFormat="1">
      <c r="A210" s="161"/>
      <c r="C210" s="108"/>
      <c r="D210" s="161"/>
      <c r="E210" s="161"/>
      <c r="P210" s="21"/>
    </row>
    <row r="211" spans="1:16" s="52" customFormat="1">
      <c r="A211" s="161"/>
      <c r="C211" s="108"/>
      <c r="D211" s="161"/>
      <c r="E211" s="161"/>
      <c r="P211" s="21"/>
    </row>
  </sheetData>
  <sheetProtection algorithmName="SHA-512" hashValue="twLlTRH2SjgaKSoXXu1q8u3dbEquFhFGlbBzTTeosI8PkExouX2Tdw4L2zuk8LzkyeDDvVtyVL3acQGhja9Erw==" saltValue="MTGPUKOxYiim0aatEFYHOw==" spinCount="100000" sheet="1" objects="1" scenarios="1"/>
  <mergeCells count="20">
    <mergeCell ref="A1:P1"/>
    <mergeCell ref="A4:A5"/>
    <mergeCell ref="B4:B5"/>
    <mergeCell ref="C4:C5"/>
    <mergeCell ref="D4:E4"/>
    <mergeCell ref="F4:F5"/>
    <mergeCell ref="G4:O4"/>
    <mergeCell ref="P4:P5"/>
    <mergeCell ref="B32:E32"/>
    <mergeCell ref="B7:E7"/>
    <mergeCell ref="B8:E8"/>
    <mergeCell ref="B9:E9"/>
    <mergeCell ref="B10:E10"/>
    <mergeCell ref="B11:E11"/>
    <mergeCell ref="B21:E21"/>
    <mergeCell ref="B23:E23"/>
    <mergeCell ref="B24:E24"/>
    <mergeCell ref="B25:E25"/>
    <mergeCell ref="B26:E26"/>
    <mergeCell ref="B27:E27"/>
  </mergeCells>
  <pageMargins left="0.31496062992125984" right="0.31496062992125984" top="0.94488188976377963" bottom="0.55118110236220474" header="0.51181102362204722" footer="0.31496062992125984"/>
  <pageSetup paperSize="9" scale="57" fitToHeight="0" orientation="landscape" horizontalDpi="4294967294" verticalDpi="0" r:id="rId1"/>
  <headerFooter differentOddEven="1" differentFirst="1" alignWithMargins="0">
    <oddFooter>&amp;C&amp;P</oddFooter>
    <evenFooter>&amp;C&amp;P</evenFooter>
    <firstHeader>&amp;RZałącznik Nr 2
do uchwały Nr ..............
Rady  Powiatu  Otwockiego
z dnia ...........................</firstHeader>
    <firstFooter>&amp;C&amp;P</firstFooter>
  </headerFooter>
  <rowBreaks count="3" manualBreakCount="3">
    <brk id="28" max="22" man="1"/>
    <brk id="47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Zał.1</vt:lpstr>
      <vt:lpstr>Zał.2</vt:lpstr>
      <vt:lpstr>Zał.1!Obszar_wydruku</vt:lpstr>
      <vt:lpstr>Zał.2!Obszar_wydruku</vt:lpstr>
      <vt:lpstr>Zał.1!Tytuły_wydruku</vt:lpstr>
      <vt:lpstr>Zał.2!Tytuły_wydruku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2020-09-08T11:59:23Z</dcterms:modified>
</cp:coreProperties>
</file>