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lipiec 2017\"/>
    </mc:Choice>
  </mc:AlternateContent>
  <bookViews>
    <workbookView xWindow="0" yWindow="0" windowWidth="19200" windowHeight="10185"/>
  </bookViews>
  <sheets>
    <sheet name="Zał.1" sheetId="23" r:id="rId1"/>
    <sheet name="Zał.2 " sheetId="1" r:id="rId2"/>
  </sheets>
  <externalReferences>
    <externalReference r:id="rId3"/>
  </externalReferences>
  <definedNames>
    <definedName name="_xlnm.Print_Area" localSheetId="0">Zał.1!$A$1:$U$104</definedName>
    <definedName name="_xlnm.Print_Area" localSheetId="1">'Zał.2 '!$A$1:$L$40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23" l="1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F108" i="23"/>
  <c r="E108" i="23"/>
  <c r="D108" i="23"/>
  <c r="C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F104" i="23"/>
  <c r="E104" i="23"/>
  <c r="D104" i="23"/>
  <c r="C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I102" i="23"/>
  <c r="H102" i="23"/>
  <c r="G102" i="23"/>
  <c r="F102" i="23"/>
  <c r="E102" i="23"/>
  <c r="D102" i="23"/>
  <c r="C102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U80" i="23"/>
  <c r="T80" i="23"/>
  <c r="S80" i="23"/>
  <c r="R80" i="23"/>
  <c r="Q80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U51" i="23"/>
  <c r="U111" i="23" s="1"/>
  <c r="T51" i="23"/>
  <c r="T111" i="23" s="1"/>
  <c r="S51" i="23"/>
  <c r="R51" i="23"/>
  <c r="Q51" i="23"/>
  <c r="Q111" i="23" s="1"/>
  <c r="P51" i="23"/>
  <c r="P111" i="23" s="1"/>
  <c r="O51" i="23"/>
  <c r="N51" i="23"/>
  <c r="M51" i="23"/>
  <c r="M55" i="23" s="1"/>
  <c r="L51" i="23"/>
  <c r="L111" i="23" s="1"/>
  <c r="K51" i="23"/>
  <c r="J51" i="23"/>
  <c r="I51" i="23"/>
  <c r="I111" i="23" s="1"/>
  <c r="H51" i="23"/>
  <c r="G51" i="23"/>
  <c r="F51" i="23"/>
  <c r="E51" i="23"/>
  <c r="D51" i="23"/>
  <c r="C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U46" i="23"/>
  <c r="U110" i="23" s="1"/>
  <c r="T46" i="23"/>
  <c r="T110" i="23" s="1"/>
  <c r="S46" i="23"/>
  <c r="S110" i="23" s="1"/>
  <c r="R46" i="23"/>
  <c r="R110" i="23" s="1"/>
  <c r="Q46" i="23"/>
  <c r="Q110" i="23" s="1"/>
  <c r="P46" i="23"/>
  <c r="P110" i="23" s="1"/>
  <c r="O46" i="23"/>
  <c r="O110" i="23" s="1"/>
  <c r="N46" i="23"/>
  <c r="N110" i="23" s="1"/>
  <c r="M46" i="23"/>
  <c r="M110" i="23" s="1"/>
  <c r="L46" i="23"/>
  <c r="L110" i="23" s="1"/>
  <c r="K46" i="23"/>
  <c r="K110" i="23" s="1"/>
  <c r="J46" i="23"/>
  <c r="J110" i="23" s="1"/>
  <c r="I46" i="23"/>
  <c r="I110" i="23" s="1"/>
  <c r="H46" i="23"/>
  <c r="H110" i="23" s="1"/>
  <c r="G46" i="23"/>
  <c r="G110" i="23" s="1"/>
  <c r="F46" i="23"/>
  <c r="E46" i="23"/>
  <c r="D46" i="23"/>
  <c r="C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G3" i="23"/>
  <c r="H3" i="23" s="1"/>
  <c r="I3" i="23" s="1"/>
  <c r="J3" i="23" s="1"/>
  <c r="K3" i="23" s="1"/>
  <c r="L3" i="23" s="1"/>
  <c r="M3" i="23" s="1"/>
  <c r="N3" i="23" s="1"/>
  <c r="O3" i="23" s="1"/>
  <c r="P3" i="23" s="1"/>
  <c r="Q3" i="23" s="1"/>
  <c r="R3" i="23" s="1"/>
  <c r="S3" i="23" s="1"/>
  <c r="T3" i="23" s="1"/>
  <c r="U3" i="23" s="1"/>
  <c r="G2" i="23"/>
  <c r="K111" i="23" l="1"/>
  <c r="O55" i="23"/>
  <c r="F3" i="23"/>
  <c r="E3" i="23" s="1"/>
  <c r="D3" i="23" s="1"/>
  <c r="C3" i="23" s="1"/>
  <c r="M56" i="23"/>
  <c r="S112" i="23"/>
  <c r="I56" i="23"/>
  <c r="Q56" i="23"/>
  <c r="U56" i="23"/>
  <c r="S55" i="23"/>
  <c r="H111" i="23"/>
  <c r="H112" i="23"/>
  <c r="J112" i="23"/>
  <c r="N112" i="23"/>
  <c r="R112" i="23"/>
  <c r="H56" i="23"/>
  <c r="L56" i="23"/>
  <c r="P56" i="23"/>
  <c r="T56" i="23"/>
  <c r="K55" i="23"/>
  <c r="M112" i="23"/>
  <c r="Q112" i="23"/>
  <c r="G112" i="23"/>
  <c r="G56" i="23"/>
  <c r="G111" i="23"/>
  <c r="K112" i="23"/>
  <c r="K56" i="23"/>
  <c r="O111" i="23"/>
  <c r="O56" i="23"/>
  <c r="O112" i="23"/>
  <c r="S111" i="23"/>
  <c r="S56" i="23"/>
  <c r="G55" i="23"/>
  <c r="H55" i="23"/>
  <c r="L55" i="23"/>
  <c r="P55" i="23"/>
  <c r="T55" i="23"/>
  <c r="J56" i="23"/>
  <c r="N56" i="23"/>
  <c r="R56" i="23"/>
  <c r="M111" i="23"/>
  <c r="R111" i="23"/>
  <c r="I112" i="23"/>
  <c r="T112" i="23"/>
  <c r="I55" i="23"/>
  <c r="Q55" i="23"/>
  <c r="U55" i="23"/>
  <c r="N111" i="23"/>
  <c r="P112" i="23"/>
  <c r="U112" i="23"/>
  <c r="J55" i="23"/>
  <c r="N55" i="23"/>
  <c r="R55" i="23"/>
  <c r="J111" i="23"/>
  <c r="L112" i="23"/>
  <c r="G10" i="1"/>
  <c r="H10" i="1"/>
  <c r="I10" i="1"/>
  <c r="J10" i="1"/>
  <c r="K10" i="1"/>
  <c r="L10" i="1"/>
  <c r="F10" i="1"/>
  <c r="L15" i="1"/>
  <c r="G25" i="1" l="1"/>
  <c r="H25" i="1"/>
  <c r="I25" i="1"/>
  <c r="J25" i="1"/>
  <c r="K25" i="1"/>
  <c r="F25" i="1"/>
  <c r="L40" i="1"/>
  <c r="G16" i="1" l="1"/>
  <c r="H16" i="1"/>
  <c r="I16" i="1"/>
  <c r="J16" i="1"/>
  <c r="K16" i="1"/>
  <c r="J9" i="1"/>
  <c r="H9" i="1" l="1"/>
  <c r="K9" i="1"/>
  <c r="G9" i="1"/>
  <c r="I9" i="1"/>
  <c r="G8" i="1"/>
  <c r="H8" i="1"/>
  <c r="I8" i="1"/>
  <c r="J8" i="1"/>
  <c r="K8" i="1"/>
  <c r="L14" i="1" l="1"/>
  <c r="G23" i="1" l="1"/>
  <c r="G7" i="1" s="1"/>
  <c r="H23" i="1"/>
  <c r="H7" i="1" s="1"/>
  <c r="I23" i="1"/>
  <c r="I7" i="1" s="1"/>
  <c r="J23" i="1"/>
  <c r="J7" i="1" s="1"/>
  <c r="K23" i="1"/>
  <c r="K7" i="1" s="1"/>
  <c r="F23" i="1"/>
  <c r="L24" i="1"/>
  <c r="L23" i="1" s="1"/>
  <c r="L13" i="1" l="1"/>
  <c r="G22" i="1" l="1"/>
  <c r="H22" i="1"/>
  <c r="I22" i="1"/>
  <c r="J22" i="1"/>
  <c r="K22" i="1"/>
  <c r="L39" i="1"/>
  <c r="L12" i="1" l="1"/>
  <c r="L11" i="1" l="1"/>
  <c r="L18" i="1"/>
  <c r="L17" i="1"/>
  <c r="L21" i="1"/>
  <c r="L20" i="1"/>
  <c r="K19" i="1"/>
  <c r="K6" i="1" s="1"/>
  <c r="L27" i="1"/>
  <c r="L28" i="1"/>
  <c r="L29" i="1"/>
  <c r="L30" i="1"/>
  <c r="L31" i="1"/>
  <c r="L32" i="1"/>
  <c r="L33" i="1"/>
  <c r="L34" i="1"/>
  <c r="L35" i="1"/>
  <c r="L36" i="1"/>
  <c r="L37" i="1"/>
  <c r="L38" i="1"/>
  <c r="L26" i="1"/>
  <c r="L25" i="1" l="1"/>
  <c r="L22" i="1" s="1"/>
  <c r="L16" i="1"/>
  <c r="L7" i="1"/>
  <c r="L9" i="1"/>
  <c r="L8" i="1" l="1"/>
  <c r="F16" i="1"/>
  <c r="J19" i="1" l="1"/>
  <c r="J6" i="1" s="1"/>
  <c r="I19" i="1"/>
  <c r="I6" i="1" s="1"/>
  <c r="H19" i="1"/>
  <c r="H6" i="1" s="1"/>
  <c r="G19" i="1"/>
  <c r="G6" i="1" s="1"/>
  <c r="F19" i="1"/>
  <c r="L19" i="1" l="1"/>
  <c r="L6" i="1" s="1"/>
  <c r="F22" i="1"/>
  <c r="F9" i="1"/>
  <c r="F8" i="1"/>
  <c r="F7" i="1"/>
  <c r="F6" i="1" l="1"/>
</calcChain>
</file>

<file path=xl/sharedStrings.xml><?xml version="1.0" encoding="utf-8"?>
<sst xmlns="http://schemas.openxmlformats.org/spreadsheetml/2006/main" count="491" uniqueCount="279">
  <si>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</si>
  <si>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</si>
  <si>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</si>
  <si>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</si>
  <si>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</si>
  <si>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</si>
  <si>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</si>
  <si>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</si>
  <si>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</si>
  <si>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</si>
  <si>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</si>
  <si>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</si>
  <si>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</si>
  <si>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</si>
  <si>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</si>
  <si>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</si>
  <si>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</si>
  <si>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</si>
  <si>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</si>
  <si>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</si>
  <si>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</si>
  <si>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</si>
  <si>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</si>
  <si>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</si>
  <si>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</si>
  <si>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</si>
  <si>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</si>
  <si>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</si>
  <si>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</si>
  <si>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</si>
  <si>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</si>
  <si>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</si>
  <si>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</si>
  <si>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</si>
  <si>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</si>
  <si>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</si>
  <si>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</si>
  <si>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</si>
  <si>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</si>
  <si>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</si>
  <si>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</si>
  <si>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</si>
  <si>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</si>
  <si>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</si>
  <si>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</si>
  <si>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</si>
  <si>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</si>
  <si>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</si>
  <si>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</si>
  <si>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</si>
  <si>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</si>
  <si>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</si>
  <si>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</si>
  <si>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</si>
  <si>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</si>
  <si>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</si>
  <si>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</si>
  <si>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</si>
  <si>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</si>
  <si>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</si>
  <si>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</si>
  <si>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</si>
  <si>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</si>
  <si>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</si>
  <si>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</si>
  <si>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</si>
  <si>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</si>
  <si>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</si>
  <si>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</si>
  <si>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</si>
  <si>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</si>
  <si>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</si>
  <si>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</si>
  <si>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</si>
  <si>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</si>
  <si>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</si>
  <si>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</si>
  <si>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</si>
  <si>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</si>
  <si>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</si>
  <si>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</si>
  <si>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</si>
  <si>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</si>
  <si>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</si>
  <si>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</si>
  <si>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</si>
  <si>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</si>
  <si>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</si>
  <si>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</si>
  <si>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</si>
  <si>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</si>
  <si>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</si>
  <si>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</si>
  <si>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</si>
  <si>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</si>
  <si>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</si>
  <si>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</si>
  <si>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</si>
  <si>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</si>
  <si>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</si>
  <si>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</si>
  <si>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</si>
  <si>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</si>
  <si>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</si>
  <si>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</si>
  <si>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</si>
  <si>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</si>
  <si>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</si>
  <si>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</si>
  <si>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</si>
  <si>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</si>
  <si>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</si>
  <si>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</si>
  <si>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</si>
  <si>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</si>
  <si>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</si>
  <si>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</si>
  <si>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</si>
  <si>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</si>
  <si>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</si>
  <si>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</si>
  <si>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</si>
  <si>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</si>
  <si>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</si>
  <si>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</si>
  <si>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</si>
  <si>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</si>
  <si>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</si>
  <si>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</si>
  <si>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</si>
  <si>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</si>
  <si>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</si>
  <si>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</si>
  <si>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</si>
  <si>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</si>
  <si>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</si>
  <si>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</si>
  <si>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</si>
  <si>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</si>
  <si>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</si>
  <si>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</si>
  <si>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</si>
  <si>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</si>
  <si>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</si>
  <si>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</si>
  <si>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</si>
  <si>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</si>
  <si>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</si>
  <si>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</si>
  <si>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</si>
  <si>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</si>
  <si>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</si>
  <si>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</si>
  <si>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</si>
  <si>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</si>
  <si>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</si>
  <si>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</si>
  <si>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</si>
  <si>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</si>
  <si>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</si>
  <si>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</si>
  <si>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</si>
  <si>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</si>
  <si>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</si>
  <si>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</si>
  <si>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</si>
  <si>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</si>
  <si>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</si>
  <si>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</si>
  <si>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</si>
  <si>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</si>
  <si>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</si>
  <si>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</si>
  <si>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</si>
  <si>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</si>
  <si>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</si>
  <si>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</si>
  <si>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</si>
  <si>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</si>
  <si>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</si>
  <si>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</si>
  <si>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</si>
  <si>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</si>
  <si>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</si>
  <si>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</si>
  <si>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</si>
  <si>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</si>
  <si>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</si>
  <si>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</si>
  <si>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</si>
  <si>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</si>
  <si>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</si>
  <si>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</si>
  <si>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</si>
  <si>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</si>
  <si>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</si>
  <si>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</si>
  <si>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</si>
  <si>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</si>
  <si>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</si>
  <si>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</si>
  <si>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</si>
  <si>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</si>
  <si>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</si>
  <si>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</si>
  <si>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</si>
  <si>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</si>
  <si>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</si>
  <si>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</si>
  <si>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</si>
  <si>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</si>
  <si>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</si>
  <si>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</si>
  <si>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</si>
  <si>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</si>
  <si>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</si>
  <si>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</si>
  <si>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</si>
  <si>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</si>
  <si>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</si>
  <si>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</si>
  <si>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</si>
  <si>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</si>
  <si>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</si>
  <si>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</si>
  <si>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</si>
  <si>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</si>
  <si>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</si>
  <si>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</si>
  <si>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</si>
  <si>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</si>
  <si>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</si>
  <si>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</si>
  <si>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</si>
  <si>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</si>
  <si>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</si>
  <si>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</si>
  <si>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</si>
  <si>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</si>
  <si>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</si>
  <si>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</si>
  <si>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</si>
  <si>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</si>
  <si>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</si>
  <si>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</si>
  <si>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</si>
  <si>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</si>
  <si>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</si>
  <si>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</si>
  <si>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</si>
  <si>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</si>
  <si>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</si>
  <si>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</si>
  <si>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</si>
  <si>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</si>
  <si>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</si>
  <si>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</si>
  <si>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</si>
  <si>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</si>
  <si>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</si>
  <si>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</si>
  <si>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</si>
  <si>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</si>
  <si>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</si>
  <si>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</si>
  <si>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</si>
  <si>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</si>
  <si>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</si>
  <si>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</si>
  <si>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</si>
  <si>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</si>
  <si>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Wydatki na programy, projekty lub zadania związane z programami realizowanymi z udziałem środków, o których mowa w art. 5 ust. 1 pkt 2 i 3 ustawy z dnia 27 sierpnia 2009 r. o finansach publicznych (Dz. U. z 2016 r. poz. 1870, z późn. zm.), z tego:</t>
  </si>
  <si>
    <t>1.1.1.4</t>
  </si>
  <si>
    <t>Kwalifikacje po angielsku - mobilna kadra edukacyjna</t>
  </si>
  <si>
    <t>Zespół Szkół Nr 2</t>
  </si>
  <si>
    <t>1.3.2.15</t>
  </si>
  <si>
    <t>Modernizacja Oddziału Wewnętrznego w Powiatowym Centrum Zdrowia Sp. z o.o.</t>
  </si>
  <si>
    <t>1.1.1.5</t>
  </si>
  <si>
    <t>Akademia Rodzin w Powiecie Otwockim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</si>
</sst>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1" applyNumberFormat="1" applyFont="1" applyBorder="1" applyAlignment="1"/>
    <xf numFmtId="0" fontId="19" fillId="0" borderId="0" xfId="1" applyFont="1" applyAlignment="1">
      <alignment vertical="center"/>
    </xf>
    <xf numFmtId="0" fontId="8" fillId="0" borderId="0" xfId="3" applyFont="1" applyProtection="1"/>
    <xf numFmtId="0" fontId="20" fillId="0" borderId="0" xfId="3" applyFont="1" applyProtection="1"/>
    <xf numFmtId="0" fontId="10" fillId="0" borderId="2" xfId="3" applyFont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lipie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29.7109375" style="107" customWidth="1"/>
    <col min="3" max="21" width="11.7109375" style="21" customWidth="1"/>
    <col min="22" max="16384" width="9.140625" style="20"/>
  </cols>
  <sheetData>
    <row r="1" spans="1:22" ht="25.5" customHeight="1">
      <c r="A1" s="120" t="s">
        <v>248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2" ht="15.75">
      <c r="B2" s="22"/>
      <c r="C2" s="119" t="s">
        <v>51</v>
      </c>
      <c r="D2" s="119"/>
      <c r="E2" s="118" t="s">
        <v>52</v>
      </c>
      <c r="F2" s="118" t="s">
        <v>51</v>
      </c>
      <c r="G2" s="23" t="str">
        <f>""</f>
        <v/>
      </c>
      <c r="H2" s="24"/>
      <c r="I2" s="24"/>
      <c r="J2" s="24"/>
      <c r="K2" s="24"/>
    </row>
    <row r="3" spans="1:22" ht="33.75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  <c r="V3" s="116"/>
    </row>
    <row r="4" spans="1:22" ht="17.2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119031147.34</f>
        <v>119031147.34</v>
      </c>
      <c r="G4" s="36">
        <f>135911353</f>
        <v>135911353</v>
      </c>
      <c r="H4" s="37">
        <f>140045200</f>
        <v>140045200</v>
      </c>
      <c r="I4" s="37">
        <f>126421378</f>
        <v>126421378</v>
      </c>
      <c r="J4" s="37">
        <f>129629395</f>
        <v>129629395</v>
      </c>
      <c r="K4" s="37">
        <f>133967943</f>
        <v>133967943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  <c r="V4" s="117"/>
    </row>
    <row r="5" spans="1:22" ht="17.2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112338702.73</f>
        <v>112338702.73</v>
      </c>
      <c r="G5" s="43">
        <f>114992997</f>
        <v>114992997</v>
      </c>
      <c r="H5" s="44">
        <f>119395200</f>
        <v>119395200</v>
      </c>
      <c r="I5" s="44">
        <f>124021378</f>
        <v>124021378</v>
      </c>
      <c r="J5" s="44">
        <f>128609395</f>
        <v>128609395</v>
      </c>
      <c r="K5" s="44">
        <f>133367943</f>
        <v>133367943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2" ht="33.75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39127727</f>
        <v>39127727</v>
      </c>
      <c r="G6" s="43">
        <f>43057827</f>
        <v>43057827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2" ht="33.75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865724.06</f>
        <v>865724.06</v>
      </c>
      <c r="G7" s="43">
        <f>850000</f>
        <v>850000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2" ht="17.2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4549004.28</f>
        <v>4549004.28</v>
      </c>
      <c r="G8" s="43">
        <f>4799611</f>
        <v>4799611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2" ht="17.2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2" ht="17.2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43915782</f>
        <v>43915782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2" ht="31.5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16519142.81</f>
        <v>16519142.810000001</v>
      </c>
      <c r="G11" s="43">
        <f>15955107</f>
        <v>15955107</v>
      </c>
      <c r="H11" s="44">
        <f>16057639</f>
        <v>16057639</v>
      </c>
      <c r="I11" s="44">
        <f>16653652</f>
        <v>16653652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2" ht="17.2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6692444.61</f>
        <v>6692444.6100000003</v>
      </c>
      <c r="G12" s="43">
        <f>20918356</f>
        <v>20918356</v>
      </c>
      <c r="H12" s="44">
        <f>20650000</f>
        <v>20650000</v>
      </c>
      <c r="I12" s="44">
        <f>2400000</f>
        <v>2400000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2" ht="17.2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4846510.38</f>
        <v>4846510.38</v>
      </c>
      <c r="G13" s="43">
        <f>6004000</f>
        <v>6004000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2" ht="31.5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1823935.38</f>
        <v>1823935.38</v>
      </c>
      <c r="G14" s="43">
        <f>14826656</f>
        <v>14826656</v>
      </c>
      <c r="H14" s="44">
        <f>15650000</f>
        <v>15650000</v>
      </c>
      <c r="I14" s="44">
        <f>750000</f>
        <v>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2" ht="17.2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115011965.36</f>
        <v>115011965.36</v>
      </c>
      <c r="G15" s="36">
        <f>138458945</f>
        <v>138458945</v>
      </c>
      <c r="H15" s="37">
        <f>136484271</f>
        <v>136484271</v>
      </c>
      <c r="I15" s="37">
        <f>120733102</f>
        <v>120733102</v>
      </c>
      <c r="J15" s="37">
        <f>124464783</f>
        <v>124464783</v>
      </c>
      <c r="K15" s="37">
        <f>129825943</f>
        <v>129825943</v>
      </c>
      <c r="L15" s="37">
        <f>134347189</f>
        <v>134347189</v>
      </c>
      <c r="M15" s="37">
        <f>139576772</f>
        <v>139576772</v>
      </c>
      <c r="N15" s="37">
        <f>144154093</f>
        <v>144154093</v>
      </c>
      <c r="O15" s="37">
        <f>148820272</f>
        <v>148820272</v>
      </c>
      <c r="P15" s="37">
        <f>153918140</f>
        <v>153918140</v>
      </c>
      <c r="Q15" s="37">
        <f>158354266</f>
        <v>158354266</v>
      </c>
      <c r="R15" s="37">
        <f>163021940</f>
        <v>163021940</v>
      </c>
      <c r="S15" s="37">
        <f>169559354</f>
        <v>169559354</v>
      </c>
      <c r="T15" s="37">
        <f>174756357</f>
        <v>174756357</v>
      </c>
      <c r="U15" s="37">
        <f>179477479</f>
        <v>179477479</v>
      </c>
      <c r="V15" s="117"/>
    </row>
    <row r="16" spans="1:22" ht="17.2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106329765.59</f>
        <v>106329765.59</v>
      </c>
      <c r="G16" s="43">
        <f>107665035</f>
        <v>107665035</v>
      </c>
      <c r="H16" s="44">
        <f>109037391</f>
        <v>109037391</v>
      </c>
      <c r="I16" s="44">
        <f>113578162</f>
        <v>113578162</v>
      </c>
      <c r="J16" s="44">
        <f>115853858</f>
        <v>115853858</v>
      </c>
      <c r="K16" s="44">
        <f>118440085</f>
        <v>118440085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2" ht="17.2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0</f>
        <v>0</v>
      </c>
      <c r="G17" s="43">
        <f>488188</f>
        <v>488188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2" ht="45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2" ht="89.25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2" ht="18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1276184.14</f>
        <v>1276184.1399999999</v>
      </c>
      <c r="G20" s="43">
        <f>1300000</f>
        <v>1300000</v>
      </c>
      <c r="H20" s="44">
        <f>1300000</f>
        <v>1300000</v>
      </c>
      <c r="I20" s="44">
        <f>1250000</f>
        <v>1250000</v>
      </c>
      <c r="J20" s="44">
        <f>1100000</f>
        <v>1100000</v>
      </c>
      <c r="K20" s="44">
        <f>1000000</f>
        <v>1000000</v>
      </c>
      <c r="L20" s="44">
        <f>800000</f>
        <v>800000</v>
      </c>
      <c r="M20" s="44">
        <f>700000</f>
        <v>700000</v>
      </c>
      <c r="N20" s="44">
        <f>600000</f>
        <v>600000</v>
      </c>
      <c r="O20" s="44">
        <f>500000</f>
        <v>500000</v>
      </c>
      <c r="P20" s="44">
        <f>400000</f>
        <v>400000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2" ht="31.5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1276184.14</f>
        <v>1276184.1399999999</v>
      </c>
      <c r="G21" s="43">
        <f>1300000</f>
        <v>1300000</v>
      </c>
      <c r="H21" s="44">
        <f>1300000</f>
        <v>1300000</v>
      </c>
      <c r="I21" s="44">
        <f>1250000</f>
        <v>1250000</v>
      </c>
      <c r="J21" s="44">
        <f>1100000</f>
        <v>1100000</v>
      </c>
      <c r="K21" s="44">
        <f>1000000</f>
        <v>1000000</v>
      </c>
      <c r="L21" s="44">
        <f>800000</f>
        <v>800000</v>
      </c>
      <c r="M21" s="44">
        <f>700000</f>
        <v>700000</v>
      </c>
      <c r="N21" s="44">
        <f>600000</f>
        <v>600000</v>
      </c>
      <c r="O21" s="44">
        <f>500000</f>
        <v>500000</v>
      </c>
      <c r="P21" s="44">
        <f>400000</f>
        <v>400000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2" ht="98.25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2" ht="65.25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2" ht="17.2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8682199.77</f>
        <v>8682199.7699999996</v>
      </c>
      <c r="G24" s="43">
        <f>30793910</f>
        <v>30793910</v>
      </c>
      <c r="H24" s="44">
        <f>27446880</f>
        <v>27446880</v>
      </c>
      <c r="I24" s="44">
        <f>7154940</f>
        <v>7154940</v>
      </c>
      <c r="J24" s="44">
        <f>8610925</f>
        <v>8610925</v>
      </c>
      <c r="K24" s="44">
        <f>11385858</f>
        <v>11385858</v>
      </c>
      <c r="L24" s="44">
        <f>13905983</f>
        <v>13905983</v>
      </c>
      <c r="M24" s="44">
        <f>16358286</f>
        <v>16358286</v>
      </c>
      <c r="N24" s="44">
        <f>20585145</f>
        <v>20585145</v>
      </c>
      <c r="O24" s="44">
        <f>22275850</f>
        <v>22275850</v>
      </c>
      <c r="P24" s="44">
        <f>24321357</f>
        <v>24321357</v>
      </c>
      <c r="Q24" s="44">
        <f>25576313</f>
        <v>25576313</v>
      </c>
      <c r="R24" s="44">
        <f>27032038</f>
        <v>27032038</v>
      </c>
      <c r="S24" s="44">
        <f>30274704</f>
        <v>30274704</v>
      </c>
      <c r="T24" s="44">
        <f>32042091</f>
        <v>32042091</v>
      </c>
      <c r="U24" s="44">
        <f>33226606</f>
        <v>33226606</v>
      </c>
    </row>
    <row r="25" spans="1:22" ht="17.2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4019181.98</f>
        <v>4019181.98</v>
      </c>
      <c r="G25" s="36">
        <f>-2547592</f>
        <v>-2547592</v>
      </c>
      <c r="H25" s="37">
        <f>3560929</f>
        <v>3560929</v>
      </c>
      <c r="I25" s="37">
        <f>5688276</f>
        <v>5688276</v>
      </c>
      <c r="J25" s="37">
        <f>5164612</f>
        <v>5164612</v>
      </c>
      <c r="K25" s="37">
        <f>4142000</f>
        <v>4142000</v>
      </c>
      <c r="L25" s="37">
        <f>4242000</f>
        <v>4242000</v>
      </c>
      <c r="M25" s="37">
        <f>3492000</f>
        <v>3492000</v>
      </c>
      <c r="N25" s="37">
        <f>3492000</f>
        <v>3492000</v>
      </c>
      <c r="O25" s="37">
        <f>3592000</f>
        <v>3592000</v>
      </c>
      <c r="P25" s="37">
        <f>2800000</f>
        <v>2800000</v>
      </c>
      <c r="Q25" s="37">
        <f>2900000</f>
        <v>2900000</v>
      </c>
      <c r="R25" s="37">
        <f>2900000</f>
        <v>2900000</v>
      </c>
      <c r="S25" s="37">
        <f>1000000</f>
        <v>1000000</v>
      </c>
      <c r="T25" s="37">
        <f>400000</f>
        <v>400000</v>
      </c>
      <c r="U25" s="37">
        <f>400000</f>
        <v>400000</v>
      </c>
      <c r="V25" s="117"/>
    </row>
    <row r="26" spans="1:22" ht="17.2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7676749.94</f>
        <v>7676749.9400000004</v>
      </c>
      <c r="G26" s="36">
        <f>9724868</f>
        <v>9724868</v>
      </c>
      <c r="H26" s="37">
        <f>3000000</f>
        <v>3000000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  <c r="V26" s="117"/>
    </row>
    <row r="27" spans="1:22" ht="17.2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2" ht="17.2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2" ht="30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3476749.94</f>
        <v>3476749.94</v>
      </c>
      <c r="G29" s="43">
        <f>3524868</f>
        <v>3524868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2" ht="17.2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2" ht="29.25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5700000</f>
        <v>5700000</v>
      </c>
      <c r="H31" s="44">
        <f>3000000</f>
        <v>3000000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2" ht="16.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0</f>
        <v>0</v>
      </c>
      <c r="G32" s="43">
        <f>2547592</f>
        <v>2547592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2" ht="30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2" ht="17.2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2" ht="17.2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6560929</f>
        <v>6560929</v>
      </c>
      <c r="I35" s="37">
        <f>5688276</f>
        <v>5688276</v>
      </c>
      <c r="J35" s="37">
        <f>5164612</f>
        <v>5164612</v>
      </c>
      <c r="K35" s="37">
        <f>4142000</f>
        <v>4142000</v>
      </c>
      <c r="L35" s="37">
        <f>4242000</f>
        <v>4242000</v>
      </c>
      <c r="M35" s="37">
        <f>3492000</f>
        <v>3492000</v>
      </c>
      <c r="N35" s="37">
        <f>3492000</f>
        <v>3492000</v>
      </c>
      <c r="O35" s="37">
        <f>3592000</f>
        <v>3592000</v>
      </c>
      <c r="P35" s="37">
        <f>2800000</f>
        <v>2800000</v>
      </c>
      <c r="Q35" s="37">
        <f>2900000</f>
        <v>2900000</v>
      </c>
      <c r="R35" s="37">
        <f>2900000</f>
        <v>2900000</v>
      </c>
      <c r="S35" s="37">
        <f>1000000</f>
        <v>1000000</v>
      </c>
      <c r="T35" s="37">
        <f>400000</f>
        <v>400000</v>
      </c>
      <c r="U35" s="37">
        <f>400000</f>
        <v>400000</v>
      </c>
      <c r="V35" s="117"/>
    </row>
    <row r="36" spans="1:22" ht="42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6560929</f>
        <v>6560929</v>
      </c>
      <c r="I36" s="44">
        <f>5688276</f>
        <v>5688276</v>
      </c>
      <c r="J36" s="44">
        <f>5164612</f>
        <v>5164612</v>
      </c>
      <c r="K36" s="44">
        <f>4142000</f>
        <v>4142000</v>
      </c>
      <c r="L36" s="44">
        <f>4242000</f>
        <v>4242000</v>
      </c>
      <c r="M36" s="44">
        <f>3492000</f>
        <v>3492000</v>
      </c>
      <c r="N36" s="44">
        <f>3492000</f>
        <v>3492000</v>
      </c>
      <c r="O36" s="44">
        <f>3592000</f>
        <v>3592000</v>
      </c>
      <c r="P36" s="44">
        <f>2800000</f>
        <v>2800000</v>
      </c>
      <c r="Q36" s="44">
        <f>2900000</f>
        <v>2900000</v>
      </c>
      <c r="R36" s="44">
        <f>2900000</f>
        <v>2900000</v>
      </c>
      <c r="S36" s="44">
        <f>1000000</f>
        <v>1000000</v>
      </c>
      <c r="T36" s="44">
        <f>400000</f>
        <v>400000</v>
      </c>
      <c r="U36" s="44">
        <f>400000</f>
        <v>400000</v>
      </c>
    </row>
    <row r="37" spans="1:22" ht="56.25" customHeight="1">
      <c r="A37" s="38" t="s">
        <v>110</v>
      </c>
      <c r="B37" s="39" t="s">
        <v>111</v>
      </c>
      <c r="C37" s="40">
        <f t="shared" ref="C37:H37" si="3">2000000</f>
        <v>2000000</v>
      </c>
      <c r="D37" s="41">
        <f t="shared" si="3"/>
        <v>2000000</v>
      </c>
      <c r="E37" s="41">
        <f t="shared" si="3"/>
        <v>2000000</v>
      </c>
      <c r="F37" s="42">
        <f t="shared" si="3"/>
        <v>2000000</v>
      </c>
      <c r="G37" s="43">
        <f t="shared" si="3"/>
        <v>2000000</v>
      </c>
      <c r="H37" s="44">
        <f t="shared" si="3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2" ht="45" customHeight="1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2" ht="45" customHeight="1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2" ht="45" customHeight="1">
      <c r="A40" s="38" t="s">
        <v>116</v>
      </c>
      <c r="B40" s="39" t="s">
        <v>117</v>
      </c>
      <c r="C40" s="40">
        <f t="shared" ref="C40:H40" si="4">2000000</f>
        <v>2000000</v>
      </c>
      <c r="D40" s="41">
        <f t="shared" si="4"/>
        <v>2000000</v>
      </c>
      <c r="E40" s="41">
        <f t="shared" si="4"/>
        <v>2000000</v>
      </c>
      <c r="F40" s="42">
        <f t="shared" si="4"/>
        <v>2000000</v>
      </c>
      <c r="G40" s="43">
        <f t="shared" si="4"/>
        <v>2000000</v>
      </c>
      <c r="H40" s="44">
        <f t="shared" si="4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2" ht="17.2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2" ht="17.2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48024902.57</f>
        <v>48024902.57</v>
      </c>
      <c r="G42" s="36">
        <f>46392865</f>
        <v>46392865</v>
      </c>
      <c r="H42" s="37">
        <f>42177174</f>
        <v>42177174</v>
      </c>
      <c r="I42" s="37">
        <f>35834136</f>
        <v>35834136</v>
      </c>
      <c r="J42" s="37">
        <f>30014762</f>
        <v>30014762</v>
      </c>
      <c r="K42" s="37">
        <f>25218000</f>
        <v>25218000</v>
      </c>
      <c r="L42" s="37">
        <f>20976000</f>
        <v>20976000</v>
      </c>
      <c r="M42" s="37">
        <f>17484000</f>
        <v>17484000</v>
      </c>
      <c r="N42" s="37">
        <f>13992000</f>
        <v>13992000</v>
      </c>
      <c r="O42" s="37">
        <f>10400000</f>
        <v>10400000</v>
      </c>
      <c r="P42" s="37">
        <f>7600000</f>
        <v>7600000</v>
      </c>
      <c r="Q42" s="37">
        <f>4700000</f>
        <v>4700000</v>
      </c>
      <c r="R42" s="37">
        <f>1800000</f>
        <v>1800000</v>
      </c>
      <c r="S42" s="37">
        <f>800000</f>
        <v>800000</v>
      </c>
      <c r="T42" s="37">
        <f>400000</f>
        <v>400000</v>
      </c>
      <c r="U42" s="37">
        <f>0</f>
        <v>0</v>
      </c>
      <c r="V42" s="117"/>
    </row>
    <row r="43" spans="1:22" ht="85.5" customHeight="1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3273809.57</f>
        <v>3273809.57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  <c r="V43" s="117"/>
    </row>
    <row r="44" spans="1:22" ht="43.5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  <c r="V44" s="117"/>
    </row>
    <row r="45" spans="1:22" ht="30.75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6008937.14</f>
        <v>6008937.1399999997</v>
      </c>
      <c r="G45" s="43">
        <f>7327962</f>
        <v>7327962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2" ht="45.7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9485687.08</f>
        <v>9485687.0800000001</v>
      </c>
      <c r="G46" s="43">
        <f>10852830</f>
        <v>10852830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2" ht="18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  <c r="V47" s="117"/>
    </row>
    <row r="48" spans="1:22" ht="96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0.0715</f>
        <v>7.1499999999999994E-2</v>
      </c>
      <c r="G48" s="53">
        <f>0.0623</f>
        <v>6.2300000000000001E-2</v>
      </c>
      <c r="H48" s="54">
        <f>0.0596</f>
        <v>5.96E-2</v>
      </c>
      <c r="I48" s="54">
        <f>0.0775</f>
        <v>7.7499999999999999E-2</v>
      </c>
      <c r="J48" s="54">
        <f>0.0699</f>
        <v>6.9900000000000004E-2</v>
      </c>
      <c r="K48" s="54">
        <f>0.0585</f>
        <v>5.8500000000000003E-2</v>
      </c>
      <c r="L48" s="54">
        <f>0.0551</f>
        <v>5.5100000000000003E-2</v>
      </c>
      <c r="M48" s="54">
        <f>0.0471</f>
        <v>4.7100000000000003E-2</v>
      </c>
      <c r="N48" s="54">
        <f>0.0277</f>
        <v>2.7699999999999999E-2</v>
      </c>
      <c r="O48" s="54">
        <f>0.0268</f>
        <v>2.6800000000000001E-2</v>
      </c>
      <c r="P48" s="54">
        <f>0.0204</f>
        <v>2.0400000000000001E-2</v>
      </c>
      <c r="Q48" s="54">
        <f>0.0198</f>
        <v>1.9800000000000002E-2</v>
      </c>
      <c r="R48" s="54">
        <f>0.0187</f>
        <v>1.8700000000000001E-2</v>
      </c>
      <c r="S48" s="54">
        <f>0.0064</f>
        <v>6.4000000000000003E-3</v>
      </c>
      <c r="T48" s="54">
        <f>0.0026</f>
        <v>2.5999999999999999E-3</v>
      </c>
      <c r="U48" s="54">
        <f>0.0023</f>
        <v>2.3E-3</v>
      </c>
    </row>
    <row r="49" spans="1:22" ht="96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0.0547</f>
        <v>5.4699999999999999E-2</v>
      </c>
      <c r="G49" s="53">
        <f>0.0476</f>
        <v>4.7600000000000003E-2</v>
      </c>
      <c r="H49" s="54">
        <f>0.0453</f>
        <v>4.53E-2</v>
      </c>
      <c r="I49" s="54">
        <f>0.0775</f>
        <v>7.7499999999999999E-2</v>
      </c>
      <c r="J49" s="54">
        <f>0.0699</f>
        <v>6.9900000000000004E-2</v>
      </c>
      <c r="K49" s="54">
        <f>0.0585</f>
        <v>5.8500000000000003E-2</v>
      </c>
      <c r="L49" s="54">
        <f>0.0551</f>
        <v>5.5100000000000003E-2</v>
      </c>
      <c r="M49" s="54">
        <f>0.0471</f>
        <v>4.7100000000000003E-2</v>
      </c>
      <c r="N49" s="54">
        <f>0.0277</f>
        <v>2.7699999999999999E-2</v>
      </c>
      <c r="O49" s="54">
        <f>0.0268</f>
        <v>2.6800000000000001E-2</v>
      </c>
      <c r="P49" s="54">
        <f>0.0204</f>
        <v>2.0400000000000001E-2</v>
      </c>
      <c r="Q49" s="54">
        <f>0.0198</f>
        <v>1.9800000000000002E-2</v>
      </c>
      <c r="R49" s="54">
        <f>0.0187</f>
        <v>1.8700000000000001E-2</v>
      </c>
      <c r="S49" s="54">
        <f>0.0064</f>
        <v>6.4000000000000003E-3</v>
      </c>
      <c r="T49" s="54">
        <f>0.0026</f>
        <v>2.5999999999999999E-3</v>
      </c>
      <c r="U49" s="54">
        <f>0.0023</f>
        <v>2.3E-3</v>
      </c>
    </row>
    <row r="50" spans="1:22" ht="79.5" customHeight="1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2" ht="96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0.0547</f>
        <v>5.4699999999999999E-2</v>
      </c>
      <c r="G51" s="53">
        <f>0.0476</f>
        <v>4.7600000000000003E-2</v>
      </c>
      <c r="H51" s="54">
        <f>0.0453</f>
        <v>4.53E-2</v>
      </c>
      <c r="I51" s="54">
        <f>0.0775</f>
        <v>7.7499999999999999E-2</v>
      </c>
      <c r="J51" s="54">
        <f>0.0699</f>
        <v>6.9900000000000004E-2</v>
      </c>
      <c r="K51" s="54">
        <f>0.0585</f>
        <v>5.8500000000000003E-2</v>
      </c>
      <c r="L51" s="54">
        <f>0.0551</f>
        <v>5.5100000000000003E-2</v>
      </c>
      <c r="M51" s="54">
        <f>0.0471</f>
        <v>4.7100000000000003E-2</v>
      </c>
      <c r="N51" s="54">
        <f>0.0277</f>
        <v>2.7699999999999999E-2</v>
      </c>
      <c r="O51" s="54">
        <f>0.0268</f>
        <v>2.6800000000000001E-2</v>
      </c>
      <c r="P51" s="54">
        <f>0.0204</f>
        <v>2.0400000000000001E-2</v>
      </c>
      <c r="Q51" s="54">
        <f>0.0198</f>
        <v>1.9800000000000002E-2</v>
      </c>
      <c r="R51" s="54">
        <f>0.0187</f>
        <v>1.8700000000000001E-2</v>
      </c>
      <c r="S51" s="54">
        <f>0.0064</f>
        <v>6.4000000000000003E-3</v>
      </c>
      <c r="T51" s="54">
        <f>0.0026</f>
        <v>2.5999999999999999E-3</v>
      </c>
      <c r="U51" s="54">
        <f>0.0023</f>
        <v>2.3E-3</v>
      </c>
    </row>
    <row r="52" spans="1:22" ht="72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0.0912</f>
        <v>9.1200000000000003E-2</v>
      </c>
      <c r="G52" s="53">
        <f>0.0981</f>
        <v>9.8100000000000007E-2</v>
      </c>
      <c r="H52" s="54">
        <f>0.1097</f>
        <v>0.10970000000000001</v>
      </c>
      <c r="I52" s="54">
        <f>0.0957</f>
        <v>9.5699999999999993E-2</v>
      </c>
      <c r="J52" s="54">
        <f>0.1005</f>
        <v>0.10050000000000001</v>
      </c>
      <c r="K52" s="54">
        <f>0.1137</f>
        <v>0.1137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2" ht="96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0.0843</f>
        <v>8.43E-2</v>
      </c>
      <c r="I53" s="54">
        <f>0.0934</f>
        <v>9.3399999999999997E-2</v>
      </c>
      <c r="J53" s="54">
        <f>0.1012</f>
        <v>0.1012</v>
      </c>
      <c r="K53" s="54">
        <f>0.102</f>
        <v>0.10199999999999999</v>
      </c>
      <c r="L53" s="54">
        <f>0.1033</f>
        <v>0.1033</v>
      </c>
      <c r="M53" s="54">
        <f>0.1143</f>
        <v>0.1143</v>
      </c>
      <c r="N53" s="54">
        <f>0.1264</f>
        <v>0.12640000000000001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2" ht="96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0.0931</f>
        <v>9.3100000000000002E-2</v>
      </c>
      <c r="H54" s="54">
        <f>0.0906</f>
        <v>9.06E-2</v>
      </c>
      <c r="I54" s="54">
        <f>0.0997</f>
        <v>9.9699999999999997E-2</v>
      </c>
      <c r="J54" s="54">
        <f>0.1012</f>
        <v>0.1012</v>
      </c>
      <c r="K54" s="54">
        <f>0.102</f>
        <v>0.10199999999999999</v>
      </c>
      <c r="L54" s="54">
        <f>0.1033</f>
        <v>0.1033</v>
      </c>
      <c r="M54" s="54">
        <f>0.1143</f>
        <v>0.1143</v>
      </c>
      <c r="N54" s="54">
        <f>0.1264</f>
        <v>0.12640000000000001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2" ht="108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5">IF(H51&lt;=H53,"Spełniona","Nie spełniona")</f>
        <v>Spełniona</v>
      </c>
      <c r="I55" s="57" t="str">
        <f t="shared" si="5"/>
        <v>Spełniona</v>
      </c>
      <c r="J55" s="57" t="str">
        <f t="shared" si="5"/>
        <v>Spełniona</v>
      </c>
      <c r="K55" s="57" t="str">
        <f t="shared" si="5"/>
        <v>Spełniona</v>
      </c>
      <c r="L55" s="57" t="str">
        <f t="shared" si="5"/>
        <v>Spełniona</v>
      </c>
      <c r="M55" s="57" t="str">
        <f t="shared" si="5"/>
        <v>Spełniona</v>
      </c>
      <c r="N55" s="57" t="str">
        <f t="shared" si="5"/>
        <v>Spełniona</v>
      </c>
      <c r="O55" s="57" t="str">
        <f t="shared" si="5"/>
        <v>Spełniona</v>
      </c>
      <c r="P55" s="57" t="str">
        <f t="shared" si="5"/>
        <v>Spełniona</v>
      </c>
      <c r="Q55" s="57" t="str">
        <f t="shared" si="5"/>
        <v>Spełniona</v>
      </c>
      <c r="R55" s="57" t="str">
        <f t="shared" si="5"/>
        <v>Spełniona</v>
      </c>
      <c r="S55" s="57" t="str">
        <f t="shared" si="5"/>
        <v>Spełniona</v>
      </c>
      <c r="T55" s="57" t="str">
        <f t="shared" si="5"/>
        <v>Spełniona</v>
      </c>
      <c r="U55" s="57" t="str">
        <f t="shared" si="5"/>
        <v>Spełniona</v>
      </c>
    </row>
    <row r="56" spans="1:22" ht="108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6">IF(H51&lt;=H54,"Spełniona","Nie spełniona")</f>
        <v>Spełniona</v>
      </c>
      <c r="I56" s="57" t="str">
        <f t="shared" si="6"/>
        <v>Spełniona</v>
      </c>
      <c r="J56" s="57" t="str">
        <f t="shared" si="6"/>
        <v>Spełniona</v>
      </c>
      <c r="K56" s="57" t="str">
        <f t="shared" si="6"/>
        <v>Spełniona</v>
      </c>
      <c r="L56" s="57" t="str">
        <f t="shared" si="6"/>
        <v>Spełniona</v>
      </c>
      <c r="M56" s="57" t="str">
        <f t="shared" si="6"/>
        <v>Spełniona</v>
      </c>
      <c r="N56" s="57" t="str">
        <f t="shared" si="6"/>
        <v>Spełniona</v>
      </c>
      <c r="O56" s="57" t="str">
        <f t="shared" si="6"/>
        <v>Spełniona</v>
      </c>
      <c r="P56" s="57" t="str">
        <f t="shared" si="6"/>
        <v>Spełniona</v>
      </c>
      <c r="Q56" s="57" t="str">
        <f t="shared" si="6"/>
        <v>Spełniona</v>
      </c>
      <c r="R56" s="57" t="str">
        <f t="shared" si="6"/>
        <v>Spełniona</v>
      </c>
      <c r="S56" s="57" t="str">
        <f t="shared" si="6"/>
        <v>Spełniona</v>
      </c>
      <c r="T56" s="57" t="str">
        <f t="shared" si="6"/>
        <v>Spełniona</v>
      </c>
      <c r="U56" s="57" t="str">
        <f t="shared" si="6"/>
        <v>Spełniona</v>
      </c>
    </row>
    <row r="57" spans="1:22" ht="30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3560929</f>
        <v>3560929</v>
      </c>
      <c r="I57" s="37">
        <f>5688276</f>
        <v>5688276</v>
      </c>
      <c r="J57" s="37">
        <f>5164612</f>
        <v>5164612</v>
      </c>
      <c r="K57" s="37">
        <f>4142000</f>
        <v>4142000</v>
      </c>
      <c r="L57" s="37">
        <f>4242000</f>
        <v>4242000</v>
      </c>
      <c r="M57" s="37">
        <f>3492000</f>
        <v>3492000</v>
      </c>
      <c r="N57" s="37">
        <f>3492000</f>
        <v>3492000</v>
      </c>
      <c r="O57" s="37">
        <f>3592000</f>
        <v>3592000</v>
      </c>
      <c r="P57" s="37">
        <f>2800000</f>
        <v>2800000</v>
      </c>
      <c r="Q57" s="37">
        <f>2900000</f>
        <v>2900000</v>
      </c>
      <c r="R57" s="37">
        <f>2900000</f>
        <v>2900000</v>
      </c>
      <c r="S57" s="37">
        <f>1000000</f>
        <v>1000000</v>
      </c>
      <c r="T57" s="37">
        <f>400000</f>
        <v>400000</v>
      </c>
      <c r="U57" s="37">
        <f>400000</f>
        <v>400000</v>
      </c>
      <c r="V57" s="117"/>
    </row>
    <row r="58" spans="1:22" ht="30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3560929</f>
        <v>3560929</v>
      </c>
      <c r="I58" s="44">
        <f>5688276</f>
        <v>5688276</v>
      </c>
      <c r="J58" s="44">
        <f>5164612</f>
        <v>5164612</v>
      </c>
      <c r="K58" s="44">
        <f>4142000</f>
        <v>4142000</v>
      </c>
      <c r="L58" s="44">
        <f>4242000</f>
        <v>4242000</v>
      </c>
      <c r="M58" s="44">
        <f>3492000</f>
        <v>3492000</v>
      </c>
      <c r="N58" s="44">
        <f>3492000</f>
        <v>3492000</v>
      </c>
      <c r="O58" s="44">
        <f>3592000</f>
        <v>3592000</v>
      </c>
      <c r="P58" s="44">
        <f>2800000</f>
        <v>2800000</v>
      </c>
      <c r="Q58" s="44">
        <f>2900000</f>
        <v>2900000</v>
      </c>
      <c r="R58" s="44">
        <f>2900000</f>
        <v>2900000</v>
      </c>
      <c r="S58" s="44">
        <f>1000000</f>
        <v>1000000</v>
      </c>
      <c r="T58" s="44">
        <f>400000</f>
        <v>400000</v>
      </c>
      <c r="U58" s="44">
        <f>400000</f>
        <v>400000</v>
      </c>
    </row>
    <row r="59" spans="1:22" ht="30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  <c r="V59" s="117"/>
    </row>
    <row r="60" spans="1:22" ht="30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64574748.58</f>
        <v>64574748.579999998</v>
      </c>
      <c r="G60" s="43">
        <f>67418783</f>
        <v>67418783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2" ht="36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9861886.2</f>
        <v>9861886.1999999993</v>
      </c>
      <c r="G61" s="43">
        <f>11210886</f>
        <v>11210886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2" ht="30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4693324.07</f>
        <v>4693324.07</v>
      </c>
      <c r="G62" s="43">
        <f>24039058</f>
        <v>24039058</v>
      </c>
      <c r="H62" s="44">
        <f>25135215</f>
        <v>25135215</v>
      </c>
      <c r="I62" s="44">
        <f>2420539</f>
        <v>2420539</v>
      </c>
      <c r="J62" s="44">
        <f>1700000</f>
        <v>1700000</v>
      </c>
      <c r="K62" s="44">
        <f>200000</f>
        <v>200000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2" ht="17.2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860587.73</f>
        <v>860587.73</v>
      </c>
      <c r="G63" s="43">
        <f>1372496</f>
        <v>1372496</v>
      </c>
      <c r="H63" s="44">
        <f>654582</f>
        <v>654582</v>
      </c>
      <c r="I63" s="44">
        <f>319477</f>
        <v>319477</v>
      </c>
      <c r="J63" s="44">
        <f>0</f>
        <v>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2" ht="17.2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3832736.34</f>
        <v>3832736.34</v>
      </c>
      <c r="G64" s="43">
        <f>22666562</f>
        <v>22666562</v>
      </c>
      <c r="H64" s="44">
        <f>24480633</f>
        <v>24480633</v>
      </c>
      <c r="I64" s="44">
        <f>2101062</f>
        <v>2101062</v>
      </c>
      <c r="J64" s="44">
        <f>1700000</f>
        <v>1700000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2" ht="17.2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3638806.34</f>
        <v>3638806.34</v>
      </c>
      <c r="G65" s="43">
        <f>19620326</f>
        <v>19620326</v>
      </c>
      <c r="H65" s="44">
        <f>24252705</f>
        <v>24252705</v>
      </c>
      <c r="I65" s="44">
        <f>2100000</f>
        <v>2100000</v>
      </c>
      <c r="J65" s="44">
        <f>1700000</f>
        <v>1700000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2" ht="17.2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4953899.43</f>
        <v>4953899.43</v>
      </c>
      <c r="G66" s="43">
        <f>8470300</f>
        <v>8470300</v>
      </c>
      <c r="H66" s="44">
        <f>2966247</f>
        <v>2966247</v>
      </c>
      <c r="I66" s="44">
        <f>5053878</f>
        <v>5053878</v>
      </c>
      <c r="J66" s="44">
        <f>6910925</f>
        <v>6910925</v>
      </c>
      <c r="K66" s="44">
        <f>11185858</f>
        <v>11185858</v>
      </c>
      <c r="L66" s="44">
        <f>13905983</f>
        <v>13905983</v>
      </c>
      <c r="M66" s="44">
        <f>16358286</f>
        <v>16358286</v>
      </c>
      <c r="N66" s="44">
        <f>20585145</f>
        <v>20585145</v>
      </c>
      <c r="O66" s="44">
        <f>22275850</f>
        <v>22275850</v>
      </c>
      <c r="P66" s="44">
        <f>24321357</f>
        <v>24321357</v>
      </c>
      <c r="Q66" s="44">
        <f>25576313</f>
        <v>25576313</v>
      </c>
      <c r="R66" s="44">
        <f>27032038</f>
        <v>27032038</v>
      </c>
      <c r="S66" s="44">
        <f>30274704</f>
        <v>30274704</v>
      </c>
      <c r="T66" s="44">
        <f>32042091</f>
        <v>32042091</v>
      </c>
      <c r="U66" s="44">
        <f>33226606</f>
        <v>33226606</v>
      </c>
    </row>
    <row r="67" spans="1:22" ht="17.2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89494</f>
        <v>89494</v>
      </c>
      <c r="G67" s="43">
        <f>712834</f>
        <v>712834</v>
      </c>
      <c r="H67" s="44">
        <f>227928</f>
        <v>227928</v>
      </c>
      <c r="I67" s="44">
        <f>1062</f>
        <v>1062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2" ht="56.2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  <c r="V68" s="117"/>
    </row>
    <row r="69" spans="1:22" ht="58.5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1030177.5</f>
        <v>1030177.5</v>
      </c>
      <c r="G69" s="43">
        <f>1195267</f>
        <v>1195267</v>
      </c>
      <c r="H69" s="44">
        <f>557521</f>
        <v>557521</v>
      </c>
      <c r="I69" s="44">
        <f>239477</f>
        <v>239477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2" ht="31.5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1007962.48</f>
        <v>1007962.48</v>
      </c>
      <c r="G70" s="43">
        <f>1195267</f>
        <v>1195267</v>
      </c>
      <c r="H70" s="44">
        <f>557521</f>
        <v>557521</v>
      </c>
      <c r="I70" s="44">
        <f>239477</f>
        <v>239477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2" ht="55.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1007962.48</f>
        <v>1007962.48</v>
      </c>
      <c r="G71" s="43">
        <f>1179552</f>
        <v>1179552</v>
      </c>
      <c r="H71" s="44">
        <f>297933</f>
        <v>297933</v>
      </c>
      <c r="I71" s="44">
        <f>0</f>
        <v>0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2" ht="57.75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0</f>
        <v>0</v>
      </c>
      <c r="G72" s="43">
        <f>940361</f>
        <v>940361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2" ht="31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0</f>
        <v>0</v>
      </c>
      <c r="G73" s="43">
        <f>676681</f>
        <v>676681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2" ht="55.5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0</f>
        <v>0</v>
      </c>
      <c r="G74" s="43">
        <f>676681</f>
        <v>676681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2" ht="57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>891576</f>
        <v>891576</v>
      </c>
      <c r="F75" s="42">
        <f>860587.73</f>
        <v>860587.73</v>
      </c>
      <c r="G75" s="43">
        <f>1292496</f>
        <v>1292496</v>
      </c>
      <c r="H75" s="44">
        <f>574582</f>
        <v>574582</v>
      </c>
      <c r="I75" s="44">
        <f>239477</f>
        <v>239477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2" ht="33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>891576</f>
        <v>891576</v>
      </c>
      <c r="F76" s="42">
        <f>860587.73</f>
        <v>860587.73</v>
      </c>
      <c r="G76" s="43">
        <f>1195267</f>
        <v>1195267</v>
      </c>
      <c r="H76" s="44">
        <f>557521</f>
        <v>557521</v>
      </c>
      <c r="I76" s="44">
        <f>239477</f>
        <v>239477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2" ht="70.5" customHeight="1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>891576</f>
        <v>891576</v>
      </c>
      <c r="F77" s="42">
        <f>860587.73</f>
        <v>860587.73</v>
      </c>
      <c r="G77" s="43">
        <f>1179552</f>
        <v>1179552</v>
      </c>
      <c r="H77" s="44">
        <f>297933</f>
        <v>297933</v>
      </c>
      <c r="I77" s="44">
        <f>0</f>
        <v>0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2" ht="57.75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11600</f>
        <v>11600</v>
      </c>
      <c r="G78" s="43">
        <f>1039997</f>
        <v>1039997</v>
      </c>
      <c r="H78" s="44">
        <f>227928</f>
        <v>227928</v>
      </c>
      <c r="I78" s="44">
        <f>1062</f>
        <v>1062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2" ht="33.75" customHeight="1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2" ht="80.25" customHeight="1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2" ht="81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>67501</f>
        <v>67501</v>
      </c>
      <c r="F81" s="42">
        <f>10480</f>
        <v>10480</v>
      </c>
      <c r="G81" s="43">
        <f>461665</f>
        <v>461665</v>
      </c>
      <c r="H81" s="44">
        <f>244989</f>
        <v>244989</v>
      </c>
      <c r="I81" s="44">
        <f>1062</f>
        <v>1062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2" ht="35.25" customHeight="1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>67501</f>
        <v>67501</v>
      </c>
      <c r="F82" s="42">
        <f>10480</f>
        <v>10480</v>
      </c>
      <c r="G82" s="43">
        <f>461665</f>
        <v>461665</v>
      </c>
      <c r="H82" s="44">
        <f>244989</f>
        <v>244989</v>
      </c>
      <c r="I82" s="44">
        <f>1062</f>
        <v>1062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2" ht="84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>67501</f>
        <v>67501</v>
      </c>
      <c r="F83" s="42">
        <f>10480</f>
        <v>10480</v>
      </c>
      <c r="G83" s="43">
        <f>461665</f>
        <v>461665</v>
      </c>
      <c r="H83" s="44">
        <f>244989</f>
        <v>244989</v>
      </c>
      <c r="I83" s="44">
        <f>1062</f>
        <v>1062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2" ht="34.5" customHeight="1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>67501</f>
        <v>67501</v>
      </c>
      <c r="F84" s="42">
        <f>10480</f>
        <v>10480</v>
      </c>
      <c r="G84" s="43">
        <f>461665</f>
        <v>461665</v>
      </c>
      <c r="H84" s="44">
        <f>244989</f>
        <v>244989</v>
      </c>
      <c r="I84" s="44">
        <f>1062</f>
        <v>1062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2" ht="101.25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2" ht="36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2" ht="100.5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2" ht="36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2" ht="66" customHeight="1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  <c r="V89" s="117"/>
    </row>
    <row r="90" spans="1:22" ht="78.75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3273809.57</f>
        <v>3273809.57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2" ht="72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2" ht="42.7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2" ht="72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>654762</f>
        <v>654762</v>
      </c>
      <c r="F93" s="42">
        <f>654761.88</f>
        <v>654761.88</v>
      </c>
      <c r="G93" s="43">
        <f>654762</f>
        <v>654762</v>
      </c>
      <c r="H93" s="44">
        <f>654762</f>
        <v>654762</v>
      </c>
      <c r="I93" s="44">
        <f>654762</f>
        <v>654762</v>
      </c>
      <c r="J93" s="44">
        <f>654762</f>
        <v>654762</v>
      </c>
      <c r="K93" s="44">
        <f>654762</f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2" ht="71.25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2" ht="66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2" ht="42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2" ht="26.25" customHeight="1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  <c r="V97" s="117"/>
    </row>
    <row r="98" spans="1:22" ht="60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6510929</f>
        <v>6510929</v>
      </c>
      <c r="I98" s="44">
        <f>5388276</f>
        <v>5388276</v>
      </c>
      <c r="J98" s="44">
        <f>4414612</f>
        <v>4414612</v>
      </c>
      <c r="K98" s="44">
        <f>3342000</f>
        <v>3342000</v>
      </c>
      <c r="L98" s="44">
        <f>3442000</f>
        <v>3442000</v>
      </c>
      <c r="M98" s="44">
        <f>2692000</f>
        <v>2692000</v>
      </c>
      <c r="N98" s="44">
        <f>2692000</f>
        <v>2692000</v>
      </c>
      <c r="O98" s="44">
        <f>2692000</f>
        <v>2692000</v>
      </c>
      <c r="P98" s="44">
        <f>1900000</f>
        <v>1900000</v>
      </c>
      <c r="Q98" s="44">
        <f>1900000</f>
        <v>1900000</v>
      </c>
      <c r="R98" s="44">
        <f>1900000</f>
        <v>1900000</v>
      </c>
      <c r="S98" s="44">
        <f>400000</f>
        <v>400000</v>
      </c>
      <c r="T98" s="44">
        <f>400000</f>
        <v>400000</v>
      </c>
      <c r="U98" s="44">
        <f>400000</f>
        <v>400000</v>
      </c>
    </row>
    <row r="99" spans="1:22" ht="30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3273809.57</f>
        <v>3273809.57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2" ht="18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654761.88</f>
        <v>654761.88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2" ht="33.75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2" ht="45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>654762</f>
        <v>654762</v>
      </c>
      <c r="F102" s="42">
        <f>654761.88</f>
        <v>654761.88</v>
      </c>
      <c r="G102" s="43">
        <f>654762</f>
        <v>654762</v>
      </c>
      <c r="H102" s="44">
        <f>654762</f>
        <v>654762</v>
      </c>
      <c r="I102" s="44">
        <f>654762</f>
        <v>654762</v>
      </c>
      <c r="J102" s="44">
        <f>654762</f>
        <v>654762</v>
      </c>
      <c r="K102" s="44">
        <f>654762</f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2" ht="28.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2" ht="42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2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2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2" ht="24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2" ht="60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2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2" ht="36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7">+IF(H46&lt;0,H46,"")</f>
        <v/>
      </c>
      <c r="I110" s="78" t="str">
        <f t="shared" si="7"/>
        <v/>
      </c>
      <c r="J110" s="78" t="str">
        <f t="shared" si="7"/>
        <v/>
      </c>
      <c r="K110" s="78" t="str">
        <f t="shared" si="7"/>
        <v/>
      </c>
      <c r="L110" s="78" t="str">
        <f t="shared" si="7"/>
        <v/>
      </c>
      <c r="M110" s="78" t="str">
        <f t="shared" si="7"/>
        <v/>
      </c>
      <c r="N110" s="78" t="str">
        <f t="shared" si="7"/>
        <v/>
      </c>
      <c r="O110" s="78" t="str">
        <f t="shared" si="7"/>
        <v/>
      </c>
      <c r="P110" s="78" t="str">
        <f t="shared" si="7"/>
        <v/>
      </c>
      <c r="Q110" s="78" t="str">
        <f t="shared" si="7"/>
        <v/>
      </c>
      <c r="R110" s="78" t="str">
        <f t="shared" si="7"/>
        <v/>
      </c>
      <c r="S110" s="78" t="str">
        <f t="shared" si="7"/>
        <v/>
      </c>
      <c r="T110" s="78" t="str">
        <f t="shared" si="7"/>
        <v/>
      </c>
      <c r="U110" s="78" t="str">
        <f t="shared" si="7"/>
        <v/>
      </c>
    </row>
    <row r="111" spans="1:22" ht="36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8">IF(H51&lt;=H53,"",H53- H51)</f>
        <v/>
      </c>
      <c r="I111" s="99" t="str">
        <f t="shared" si="8"/>
        <v/>
      </c>
      <c r="J111" s="99" t="str">
        <f t="shared" si="8"/>
        <v/>
      </c>
      <c r="K111" s="99" t="str">
        <f t="shared" si="8"/>
        <v/>
      </c>
      <c r="L111" s="99" t="str">
        <f t="shared" si="8"/>
        <v/>
      </c>
      <c r="M111" s="99" t="str">
        <f t="shared" si="8"/>
        <v/>
      </c>
      <c r="N111" s="99" t="str">
        <f t="shared" si="8"/>
        <v/>
      </c>
      <c r="O111" s="99" t="str">
        <f t="shared" si="8"/>
        <v/>
      </c>
      <c r="P111" s="99" t="str">
        <f t="shared" si="8"/>
        <v/>
      </c>
      <c r="Q111" s="99" t="str">
        <f t="shared" si="8"/>
        <v/>
      </c>
      <c r="R111" s="99" t="str">
        <f t="shared" si="8"/>
        <v/>
      </c>
      <c r="S111" s="99" t="str">
        <f t="shared" si="8"/>
        <v/>
      </c>
      <c r="T111" s="99" t="str">
        <f t="shared" si="8"/>
        <v/>
      </c>
      <c r="U111" s="99" t="str">
        <f t="shared" si="8"/>
        <v/>
      </c>
    </row>
    <row r="112" spans="1:22" ht="36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9">IF(H51&lt;=H54,"",H54-H51)</f>
        <v/>
      </c>
      <c r="I112" s="105" t="str">
        <f t="shared" si="9"/>
        <v/>
      </c>
      <c r="J112" s="105" t="str">
        <f t="shared" si="9"/>
        <v/>
      </c>
      <c r="K112" s="105" t="str">
        <f t="shared" si="9"/>
        <v/>
      </c>
      <c r="L112" s="105" t="str">
        <f t="shared" si="9"/>
        <v/>
      </c>
      <c r="M112" s="105" t="str">
        <f t="shared" si="9"/>
        <v/>
      </c>
      <c r="N112" s="105" t="str">
        <f t="shared" si="9"/>
        <v/>
      </c>
      <c r="O112" s="105" t="str">
        <f t="shared" si="9"/>
        <v/>
      </c>
      <c r="P112" s="105" t="str">
        <f t="shared" si="9"/>
        <v/>
      </c>
      <c r="Q112" s="105" t="str">
        <f t="shared" si="9"/>
        <v/>
      </c>
      <c r="R112" s="105" t="str">
        <f t="shared" si="9"/>
        <v/>
      </c>
      <c r="S112" s="105" t="str">
        <f t="shared" si="9"/>
        <v/>
      </c>
      <c r="T112" s="105" t="str">
        <f t="shared" si="9"/>
        <v/>
      </c>
      <c r="U112" s="105" t="str">
        <f t="shared" si="9"/>
        <v/>
      </c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EpOq9mPT84Om1YPOK5Glzc4htjBRnVFFSES1qnMaxPyOXoDXBqeBGH3ayGJ5QG7+rCpJfZPu1W4BYZlVg3dXig==" saltValue="agAiQ6/DZ3wQQgstBqTdoA==" spinCount="100000" sheet="1" objects="1" scenarios="1" formatColumns="0" formatRows="0" autoFilter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2598425196850394" bottom="1.28" header="0.74803149606299213" footer="0.54"/>
  <pageSetup paperSize="9" scale="55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120" zoomScaleNormal="120" workbookViewId="0">
      <pane ySplit="4" topLeftCell="A5" activePane="bottomLeft" state="frozen"/>
      <selection pane="bottomLeft" activeCell="P10" sqref="P10"/>
    </sheetView>
  </sheetViews>
  <sheetFormatPr defaultRowHeight="12.75"/>
  <cols>
    <col min="1" max="1" width="7.85546875" style="2" customWidth="1"/>
    <col min="2" max="2" width="51" style="1" customWidth="1"/>
    <col min="3" max="3" width="16.140625" style="2" customWidth="1"/>
    <col min="4" max="5" width="6.710937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17" customFormat="1" ht="22.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12.75" customHeight="1"/>
    <row r="3" spans="1:14" ht="31.5" customHeight="1">
      <c r="A3" s="123" t="s">
        <v>1</v>
      </c>
      <c r="B3" s="123" t="s">
        <v>2</v>
      </c>
      <c r="C3" s="123" t="s">
        <v>3</v>
      </c>
      <c r="D3" s="123" t="s">
        <v>4</v>
      </c>
      <c r="E3" s="123"/>
      <c r="F3" s="123" t="s">
        <v>5</v>
      </c>
      <c r="G3" s="124" t="s">
        <v>33</v>
      </c>
      <c r="H3" s="125"/>
      <c r="I3" s="125"/>
      <c r="J3" s="125"/>
      <c r="K3" s="125"/>
      <c r="L3" s="123" t="s">
        <v>6</v>
      </c>
    </row>
    <row r="4" spans="1:14" s="2" customFormat="1" ht="23.25" customHeight="1">
      <c r="A4" s="123"/>
      <c r="B4" s="123"/>
      <c r="C4" s="123"/>
      <c r="D4" s="3" t="s">
        <v>7</v>
      </c>
      <c r="E4" s="3" t="s">
        <v>8</v>
      </c>
      <c r="F4" s="123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23"/>
    </row>
    <row r="5" spans="1:14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4" s="7" customFormat="1" ht="18.75" customHeight="1">
      <c r="A6" s="5" t="s">
        <v>9</v>
      </c>
      <c r="B6" s="121" t="s">
        <v>10</v>
      </c>
      <c r="C6" s="121"/>
      <c r="D6" s="121"/>
      <c r="E6" s="121"/>
      <c r="F6" s="6">
        <f t="shared" ref="F6:L7" si="0">SUM(F9,F19,F22)</f>
        <v>60915139</v>
      </c>
      <c r="G6" s="6">
        <f t="shared" si="0"/>
        <v>24039058</v>
      </c>
      <c r="H6" s="6">
        <f t="shared" si="0"/>
        <v>25135215</v>
      </c>
      <c r="I6" s="6">
        <f t="shared" si="0"/>
        <v>2420539</v>
      </c>
      <c r="J6" s="6">
        <f t="shared" si="0"/>
        <v>1700000</v>
      </c>
      <c r="K6" s="6">
        <f t="shared" si="0"/>
        <v>200000</v>
      </c>
      <c r="L6" s="6">
        <f t="shared" si="0"/>
        <v>53494812</v>
      </c>
    </row>
    <row r="7" spans="1:14" s="7" customFormat="1" ht="18.75" customHeight="1">
      <c r="A7" s="5" t="s">
        <v>11</v>
      </c>
      <c r="B7" s="121" t="s">
        <v>12</v>
      </c>
      <c r="C7" s="121"/>
      <c r="D7" s="121"/>
      <c r="E7" s="121"/>
      <c r="F7" s="6">
        <f t="shared" si="0"/>
        <v>2972399</v>
      </c>
      <c r="G7" s="6">
        <f t="shared" si="0"/>
        <v>1372496</v>
      </c>
      <c r="H7" s="6">
        <f t="shared" si="0"/>
        <v>654582</v>
      </c>
      <c r="I7" s="6">
        <f t="shared" si="0"/>
        <v>319477</v>
      </c>
      <c r="J7" s="6">
        <f t="shared" si="0"/>
        <v>0</v>
      </c>
      <c r="K7" s="6">
        <f t="shared" si="0"/>
        <v>0</v>
      </c>
      <c r="L7" s="6">
        <f t="shared" si="0"/>
        <v>2346555</v>
      </c>
    </row>
    <row r="8" spans="1:14" s="7" customFormat="1" ht="18.75" customHeight="1">
      <c r="A8" s="5" t="s">
        <v>13</v>
      </c>
      <c r="B8" s="121" t="s">
        <v>14</v>
      </c>
      <c r="C8" s="121"/>
      <c r="D8" s="121"/>
      <c r="E8" s="121"/>
      <c r="F8" s="6">
        <f t="shared" ref="F8:L8" si="1">SUM(F16,F21,F25)</f>
        <v>57942740</v>
      </c>
      <c r="G8" s="6">
        <f t="shared" si="1"/>
        <v>22666562</v>
      </c>
      <c r="H8" s="6">
        <f t="shared" si="1"/>
        <v>24480633</v>
      </c>
      <c r="I8" s="6">
        <f t="shared" si="1"/>
        <v>2101062</v>
      </c>
      <c r="J8" s="6">
        <f t="shared" si="1"/>
        <v>1700000</v>
      </c>
      <c r="K8" s="6">
        <f t="shared" si="1"/>
        <v>200000</v>
      </c>
      <c r="L8" s="6">
        <f t="shared" si="1"/>
        <v>51148257</v>
      </c>
    </row>
    <row r="9" spans="1:14" s="9" customFormat="1" ht="48.75" customHeight="1">
      <c r="A9" s="5" t="s">
        <v>15</v>
      </c>
      <c r="B9" s="121" t="s">
        <v>271</v>
      </c>
      <c r="C9" s="121"/>
      <c r="D9" s="121"/>
      <c r="E9" s="121"/>
      <c r="F9" s="8">
        <f t="shared" ref="F9:L9" si="2">SUM(F10,F16)</f>
        <v>4012986</v>
      </c>
      <c r="G9" s="8">
        <f t="shared" si="2"/>
        <v>2332493</v>
      </c>
      <c r="H9" s="8">
        <f t="shared" si="2"/>
        <v>802510</v>
      </c>
      <c r="I9" s="8">
        <f t="shared" si="2"/>
        <v>240539</v>
      </c>
      <c r="J9" s="8">
        <f t="shared" si="2"/>
        <v>0</v>
      </c>
      <c r="K9" s="8">
        <f t="shared" si="2"/>
        <v>0</v>
      </c>
      <c r="L9" s="8">
        <f t="shared" si="2"/>
        <v>3375542</v>
      </c>
    </row>
    <row r="10" spans="1:14" s="7" customFormat="1" ht="18.75" customHeight="1">
      <c r="A10" s="5" t="s">
        <v>16</v>
      </c>
      <c r="B10" s="121" t="s">
        <v>12</v>
      </c>
      <c r="C10" s="121"/>
      <c r="D10" s="121"/>
      <c r="E10" s="121"/>
      <c r="F10" s="6">
        <f>SUM(F11:F15)</f>
        <v>2732399</v>
      </c>
      <c r="G10" s="6">
        <f t="shared" ref="G10:L10" si="3">SUM(G11:G15)</f>
        <v>1292496</v>
      </c>
      <c r="H10" s="6">
        <f t="shared" si="3"/>
        <v>574582</v>
      </c>
      <c r="I10" s="6">
        <f t="shared" si="3"/>
        <v>239477</v>
      </c>
      <c r="J10" s="6">
        <f t="shared" si="3"/>
        <v>0</v>
      </c>
      <c r="K10" s="6">
        <f t="shared" si="3"/>
        <v>0</v>
      </c>
      <c r="L10" s="6">
        <f t="shared" si="3"/>
        <v>2106555</v>
      </c>
    </row>
    <row r="11" spans="1:14" s="15" customFormat="1" ht="43.5" customHeight="1">
      <c r="A11" s="10" t="s">
        <v>38</v>
      </c>
      <c r="B11" s="11" t="s">
        <v>249</v>
      </c>
      <c r="C11" s="12" t="s">
        <v>18</v>
      </c>
      <c r="D11" s="13">
        <v>2016</v>
      </c>
      <c r="E11" s="13">
        <v>2017</v>
      </c>
      <c r="F11" s="14">
        <v>782308</v>
      </c>
      <c r="G11" s="14">
        <v>156464</v>
      </c>
      <c r="H11" s="14"/>
      <c r="I11" s="14"/>
      <c r="J11" s="14"/>
      <c r="K11" s="14"/>
      <c r="L11" s="14">
        <f>SUM(G11:K11)</f>
        <v>156464</v>
      </c>
    </row>
    <row r="12" spans="1:14" s="15" customFormat="1" ht="43.5" customHeight="1">
      <c r="A12" s="10" t="s">
        <v>258</v>
      </c>
      <c r="B12" s="11" t="s">
        <v>259</v>
      </c>
      <c r="C12" s="12" t="s">
        <v>260</v>
      </c>
      <c r="D12" s="13">
        <v>2017</v>
      </c>
      <c r="E12" s="13">
        <v>2018</v>
      </c>
      <c r="F12" s="14">
        <v>571446</v>
      </c>
      <c r="G12" s="14">
        <v>423486</v>
      </c>
      <c r="H12" s="14">
        <v>147960</v>
      </c>
      <c r="I12" s="14"/>
      <c r="J12" s="14"/>
      <c r="K12" s="14"/>
      <c r="L12" s="14">
        <f>SUM(G12:K12)</f>
        <v>571446</v>
      </c>
    </row>
    <row r="13" spans="1:14" s="15" customFormat="1" ht="43.5" customHeight="1">
      <c r="A13" s="10" t="s">
        <v>267</v>
      </c>
      <c r="B13" s="11" t="s">
        <v>268</v>
      </c>
      <c r="C13" s="12" t="s">
        <v>18</v>
      </c>
      <c r="D13" s="13">
        <v>2017</v>
      </c>
      <c r="E13" s="13">
        <v>2018</v>
      </c>
      <c r="F13" s="14">
        <v>830763</v>
      </c>
      <c r="G13" s="14">
        <v>670350</v>
      </c>
      <c r="H13" s="14">
        <v>160413</v>
      </c>
      <c r="I13" s="14"/>
      <c r="J13" s="14"/>
      <c r="K13" s="14"/>
      <c r="L13" s="14">
        <f>SUM(G13:K13)</f>
        <v>830763</v>
      </c>
    </row>
    <row r="14" spans="1:14" s="15" customFormat="1" ht="18.75" customHeight="1">
      <c r="A14" s="10" t="s">
        <v>272</v>
      </c>
      <c r="B14" s="11" t="s">
        <v>273</v>
      </c>
      <c r="C14" s="12" t="s">
        <v>274</v>
      </c>
      <c r="D14" s="13">
        <v>2017</v>
      </c>
      <c r="E14" s="13">
        <v>2018</v>
      </c>
      <c r="F14" s="14">
        <v>33102</v>
      </c>
      <c r="G14" s="14">
        <v>26481</v>
      </c>
      <c r="H14" s="14">
        <v>6621</v>
      </c>
      <c r="I14" s="14"/>
      <c r="J14" s="14"/>
      <c r="K14" s="14"/>
      <c r="L14" s="14">
        <f>SUM(G14:K14)</f>
        <v>33102</v>
      </c>
    </row>
    <row r="15" spans="1:14" s="115" customFormat="1" ht="42" customHeight="1">
      <c r="A15" s="110" t="s">
        <v>277</v>
      </c>
      <c r="B15" s="111" t="s">
        <v>278</v>
      </c>
      <c r="C15" s="112" t="s">
        <v>260</v>
      </c>
      <c r="D15" s="113">
        <v>2017</v>
      </c>
      <c r="E15" s="113">
        <v>2019</v>
      </c>
      <c r="F15" s="114">
        <v>514780</v>
      </c>
      <c r="G15" s="114">
        <v>15715</v>
      </c>
      <c r="H15" s="114">
        <v>259588</v>
      </c>
      <c r="I15" s="114">
        <v>239477</v>
      </c>
      <c r="J15" s="114"/>
      <c r="K15" s="114"/>
      <c r="L15" s="114">
        <f>SUM(G15:K15)</f>
        <v>514780</v>
      </c>
    </row>
    <row r="16" spans="1:14" s="7" customFormat="1" ht="18.75" customHeight="1">
      <c r="A16" s="5" t="s">
        <v>19</v>
      </c>
      <c r="B16" s="121" t="s">
        <v>14</v>
      </c>
      <c r="C16" s="121"/>
      <c r="D16" s="121"/>
      <c r="E16" s="121"/>
      <c r="F16" s="6">
        <f>SUM(F17:F18)</f>
        <v>1280587</v>
      </c>
      <c r="G16" s="6">
        <f t="shared" ref="G16:L16" si="4">SUM(G17:G18)</f>
        <v>1039997</v>
      </c>
      <c r="H16" s="6">
        <f t="shared" si="4"/>
        <v>227928</v>
      </c>
      <c r="I16" s="6">
        <f t="shared" si="4"/>
        <v>1062</v>
      </c>
      <c r="J16" s="6">
        <f t="shared" si="4"/>
        <v>0</v>
      </c>
      <c r="K16" s="6">
        <f t="shared" si="4"/>
        <v>0</v>
      </c>
      <c r="L16" s="6">
        <f t="shared" si="4"/>
        <v>1268987</v>
      </c>
      <c r="M16" s="16"/>
      <c r="N16" s="16"/>
    </row>
    <row r="17" spans="1:12" s="15" customFormat="1" ht="48.75" customHeight="1">
      <c r="A17" s="10" t="s">
        <v>39</v>
      </c>
      <c r="B17" s="11" t="s">
        <v>20</v>
      </c>
      <c r="C17" s="12" t="s">
        <v>17</v>
      </c>
      <c r="D17" s="13">
        <v>2016</v>
      </c>
      <c r="E17" s="13">
        <v>2019</v>
      </c>
      <c r="F17" s="14">
        <v>290226</v>
      </c>
      <c r="G17" s="14">
        <v>61236</v>
      </c>
      <c r="H17" s="14">
        <v>227928</v>
      </c>
      <c r="I17" s="14">
        <v>1062</v>
      </c>
      <c r="J17" s="14"/>
      <c r="K17" s="14"/>
      <c r="L17" s="14">
        <f>SUM(G17:K17)</f>
        <v>290226</v>
      </c>
    </row>
    <row r="18" spans="1:12" s="15" customFormat="1" ht="50.25" customHeight="1">
      <c r="A18" s="10" t="s">
        <v>250</v>
      </c>
      <c r="B18" s="11" t="s">
        <v>251</v>
      </c>
      <c r="C18" s="12" t="s">
        <v>17</v>
      </c>
      <c r="D18" s="13">
        <v>2016</v>
      </c>
      <c r="E18" s="13">
        <v>2017</v>
      </c>
      <c r="F18" s="14">
        <v>990361</v>
      </c>
      <c r="G18" s="14">
        <v>978761</v>
      </c>
      <c r="H18" s="14"/>
      <c r="I18" s="14"/>
      <c r="J18" s="14"/>
      <c r="K18" s="14"/>
      <c r="L18" s="14">
        <f>SUM(G18:K18)</f>
        <v>978761</v>
      </c>
    </row>
    <row r="19" spans="1:12" s="9" customFormat="1" ht="34.5" customHeight="1">
      <c r="A19" s="5" t="s">
        <v>21</v>
      </c>
      <c r="B19" s="121" t="s">
        <v>22</v>
      </c>
      <c r="C19" s="121"/>
      <c r="D19" s="121"/>
      <c r="E19" s="121"/>
      <c r="F19" s="8">
        <f t="shared" ref="F19:K19" si="5">SUM(F20:F21)</f>
        <v>0</v>
      </c>
      <c r="G19" s="8">
        <f t="shared" si="5"/>
        <v>0</v>
      </c>
      <c r="H19" s="8">
        <f t="shared" si="5"/>
        <v>0</v>
      </c>
      <c r="I19" s="8">
        <f t="shared" si="5"/>
        <v>0</v>
      </c>
      <c r="J19" s="8">
        <f t="shared" si="5"/>
        <v>0</v>
      </c>
      <c r="K19" s="8">
        <f t="shared" si="5"/>
        <v>0</v>
      </c>
      <c r="L19" s="8">
        <f>SUM(G19:K19)</f>
        <v>0</v>
      </c>
    </row>
    <row r="20" spans="1:12" s="9" customFormat="1" ht="18.75" customHeight="1">
      <c r="A20" s="5" t="s">
        <v>261</v>
      </c>
      <c r="B20" s="121" t="s">
        <v>12</v>
      </c>
      <c r="C20" s="121"/>
      <c r="D20" s="121"/>
      <c r="E20" s="121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>SUM(G20:K20)</f>
        <v>0</v>
      </c>
    </row>
    <row r="21" spans="1:12" s="9" customFormat="1" ht="18.75" customHeight="1">
      <c r="A21" s="5" t="s">
        <v>262</v>
      </c>
      <c r="B21" s="121" t="s">
        <v>14</v>
      </c>
      <c r="C21" s="121"/>
      <c r="D21" s="121"/>
      <c r="E21" s="121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>SUM(G21:K21)</f>
        <v>0</v>
      </c>
    </row>
    <row r="22" spans="1:12" s="9" customFormat="1" ht="18.75" customHeight="1">
      <c r="A22" s="5" t="s">
        <v>25</v>
      </c>
      <c r="B22" s="121" t="s">
        <v>26</v>
      </c>
      <c r="C22" s="121"/>
      <c r="D22" s="121"/>
      <c r="E22" s="121"/>
      <c r="F22" s="8">
        <f>SUM(F23,F25)</f>
        <v>56902153</v>
      </c>
      <c r="G22" s="8">
        <f t="shared" ref="G22:L22" si="6">SUM(G23,G25)</f>
        <v>21706565</v>
      </c>
      <c r="H22" s="8">
        <f t="shared" si="6"/>
        <v>24332705</v>
      </c>
      <c r="I22" s="8">
        <f t="shared" si="6"/>
        <v>2180000</v>
      </c>
      <c r="J22" s="8">
        <f t="shared" si="6"/>
        <v>1700000</v>
      </c>
      <c r="K22" s="8">
        <f t="shared" si="6"/>
        <v>200000</v>
      </c>
      <c r="L22" s="8">
        <f t="shared" si="6"/>
        <v>50119270</v>
      </c>
    </row>
    <row r="23" spans="1:12" s="9" customFormat="1" ht="18.75" customHeight="1">
      <c r="A23" s="5" t="s">
        <v>27</v>
      </c>
      <c r="B23" s="121" t="s">
        <v>12</v>
      </c>
      <c r="C23" s="121"/>
      <c r="D23" s="121"/>
      <c r="E23" s="121"/>
      <c r="F23" s="8">
        <f>SUM(F24)</f>
        <v>240000</v>
      </c>
      <c r="G23" s="8">
        <f t="shared" ref="G23:L23" si="7">SUM(G24)</f>
        <v>80000</v>
      </c>
      <c r="H23" s="8">
        <f t="shared" si="7"/>
        <v>80000</v>
      </c>
      <c r="I23" s="8">
        <f t="shared" si="7"/>
        <v>80000</v>
      </c>
      <c r="J23" s="8">
        <f t="shared" si="7"/>
        <v>0</v>
      </c>
      <c r="K23" s="8">
        <f t="shared" si="7"/>
        <v>0</v>
      </c>
      <c r="L23" s="8">
        <f t="shared" si="7"/>
        <v>240000</v>
      </c>
    </row>
    <row r="24" spans="1:12" s="15" customFormat="1" ht="35.25" customHeight="1">
      <c r="A24" s="10" t="s">
        <v>270</v>
      </c>
      <c r="B24" s="11" t="s">
        <v>269</v>
      </c>
      <c r="C24" s="12" t="s">
        <v>17</v>
      </c>
      <c r="D24" s="13">
        <v>2017</v>
      </c>
      <c r="E24" s="13">
        <v>2019</v>
      </c>
      <c r="F24" s="14">
        <v>240000</v>
      </c>
      <c r="G24" s="14">
        <v>80000</v>
      </c>
      <c r="H24" s="14">
        <v>80000</v>
      </c>
      <c r="I24" s="14">
        <v>80000</v>
      </c>
      <c r="J24" s="14"/>
      <c r="K24" s="14"/>
      <c r="L24" s="14">
        <f>SUM(G24:K24)</f>
        <v>240000</v>
      </c>
    </row>
    <row r="25" spans="1:12" s="9" customFormat="1" ht="18.75" customHeight="1">
      <c r="A25" s="5" t="s">
        <v>28</v>
      </c>
      <c r="B25" s="121" t="s">
        <v>14</v>
      </c>
      <c r="C25" s="121"/>
      <c r="D25" s="121"/>
      <c r="E25" s="121"/>
      <c r="F25" s="8">
        <f>SUM(F26:F40)</f>
        <v>56662153</v>
      </c>
      <c r="G25" s="8">
        <f t="shared" ref="G25:L25" si="8">SUM(G26:G40)</f>
        <v>21626565</v>
      </c>
      <c r="H25" s="8">
        <f t="shared" si="8"/>
        <v>24252705</v>
      </c>
      <c r="I25" s="8">
        <f t="shared" si="8"/>
        <v>2100000</v>
      </c>
      <c r="J25" s="8">
        <f t="shared" si="8"/>
        <v>1700000</v>
      </c>
      <c r="K25" s="8">
        <f t="shared" si="8"/>
        <v>200000</v>
      </c>
      <c r="L25" s="8">
        <f t="shared" si="8"/>
        <v>49879270</v>
      </c>
    </row>
    <row r="26" spans="1:12" s="15" customFormat="1" ht="35.25" customHeight="1">
      <c r="A26" s="10" t="s">
        <v>29</v>
      </c>
      <c r="B26" s="11" t="s">
        <v>30</v>
      </c>
      <c r="C26" s="12" t="s">
        <v>31</v>
      </c>
      <c r="D26" s="13">
        <v>2014</v>
      </c>
      <c r="E26" s="13">
        <v>2018</v>
      </c>
      <c r="F26" s="14">
        <v>744637</v>
      </c>
      <c r="G26" s="14">
        <v>150000</v>
      </c>
      <c r="H26" s="14">
        <v>150000</v>
      </c>
      <c r="I26" s="14"/>
      <c r="J26" s="14"/>
      <c r="K26" s="14"/>
      <c r="L26" s="14">
        <f>SUM(G26:K26)</f>
        <v>300000</v>
      </c>
    </row>
    <row r="27" spans="1:12" s="15" customFormat="1" ht="36.75" customHeight="1">
      <c r="A27" s="10" t="s">
        <v>40</v>
      </c>
      <c r="B27" s="11" t="s">
        <v>36</v>
      </c>
      <c r="C27" s="12" t="s">
        <v>31</v>
      </c>
      <c r="D27" s="13">
        <v>2016</v>
      </c>
      <c r="E27" s="13">
        <v>2020</v>
      </c>
      <c r="F27" s="14">
        <v>4582700</v>
      </c>
      <c r="G27" s="14">
        <v>82700</v>
      </c>
      <c r="H27" s="14">
        <v>1500000</v>
      </c>
      <c r="I27" s="14">
        <v>1500000</v>
      </c>
      <c r="J27" s="14">
        <v>1500000</v>
      </c>
      <c r="K27" s="14"/>
      <c r="L27" s="14">
        <f t="shared" ref="L27:L38" si="9">SUM(G27:K27)</f>
        <v>4582700</v>
      </c>
    </row>
    <row r="28" spans="1:12" s="15" customFormat="1" ht="49.5" customHeight="1">
      <c r="A28" s="10" t="s">
        <v>41</v>
      </c>
      <c r="B28" s="11" t="s">
        <v>266</v>
      </c>
      <c r="C28" s="12" t="s">
        <v>31</v>
      </c>
      <c r="D28" s="13">
        <v>2016</v>
      </c>
      <c r="E28" s="13">
        <v>2018</v>
      </c>
      <c r="F28" s="14">
        <v>649815</v>
      </c>
      <c r="G28" s="14">
        <v>300000</v>
      </c>
      <c r="H28" s="14">
        <v>300000</v>
      </c>
      <c r="I28" s="14"/>
      <c r="J28" s="14"/>
      <c r="K28" s="14"/>
      <c r="L28" s="14">
        <f t="shared" si="9"/>
        <v>600000</v>
      </c>
    </row>
    <row r="29" spans="1:12" s="15" customFormat="1" ht="35.25" customHeight="1">
      <c r="A29" s="10" t="s">
        <v>42</v>
      </c>
      <c r="B29" s="11" t="s">
        <v>37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200000</v>
      </c>
      <c r="H29" s="14">
        <v>150000</v>
      </c>
      <c r="I29" s="14"/>
      <c r="J29" s="14"/>
      <c r="K29" s="14"/>
      <c r="L29" s="14">
        <f t="shared" si="9"/>
        <v>350000</v>
      </c>
    </row>
    <row r="30" spans="1:12" s="15" customFormat="1" ht="51" customHeight="1">
      <c r="A30" s="10" t="s">
        <v>43</v>
      </c>
      <c r="B30" s="11" t="s">
        <v>32</v>
      </c>
      <c r="C30" s="12" t="s">
        <v>17</v>
      </c>
      <c r="D30" s="13">
        <v>2011</v>
      </c>
      <c r="E30" s="13">
        <v>2018</v>
      </c>
      <c r="F30" s="14">
        <v>1081066</v>
      </c>
      <c r="G30" s="14">
        <v>300000</v>
      </c>
      <c r="H30" s="14">
        <v>500000</v>
      </c>
      <c r="I30" s="14"/>
      <c r="J30" s="14"/>
      <c r="K30" s="14"/>
      <c r="L30" s="14">
        <f t="shared" si="9"/>
        <v>800000</v>
      </c>
    </row>
    <row r="31" spans="1:12" s="15" customFormat="1" ht="37.5" customHeight="1">
      <c r="A31" s="10" t="s">
        <v>44</v>
      </c>
      <c r="B31" s="11" t="s">
        <v>34</v>
      </c>
      <c r="C31" s="12" t="s">
        <v>31</v>
      </c>
      <c r="D31" s="13">
        <v>2014</v>
      </c>
      <c r="E31" s="13">
        <v>2017</v>
      </c>
      <c r="F31" s="14">
        <v>6635193</v>
      </c>
      <c r="G31" s="14">
        <v>2222365</v>
      </c>
      <c r="H31" s="14"/>
      <c r="I31" s="14"/>
      <c r="J31" s="14"/>
      <c r="K31" s="14"/>
      <c r="L31" s="14">
        <f t="shared" si="9"/>
        <v>2222365</v>
      </c>
    </row>
    <row r="32" spans="1:12" s="15" customFormat="1" ht="34.5" customHeight="1">
      <c r="A32" s="10" t="s">
        <v>45</v>
      </c>
      <c r="B32" s="11" t="s">
        <v>263</v>
      </c>
      <c r="C32" s="12" t="s">
        <v>31</v>
      </c>
      <c r="D32" s="13">
        <v>2016</v>
      </c>
      <c r="E32" s="13">
        <v>2019</v>
      </c>
      <c r="F32" s="14">
        <v>249815</v>
      </c>
      <c r="G32" s="14">
        <v>0</v>
      </c>
      <c r="H32" s="14">
        <v>0</v>
      </c>
      <c r="I32" s="14">
        <v>200000</v>
      </c>
      <c r="J32" s="14"/>
      <c r="K32" s="14"/>
      <c r="L32" s="14">
        <f t="shared" si="9"/>
        <v>200000</v>
      </c>
    </row>
    <row r="33" spans="1:12" s="15" customFormat="1" ht="74.25" customHeight="1">
      <c r="A33" s="10" t="s">
        <v>46</v>
      </c>
      <c r="B33" s="11" t="s">
        <v>35</v>
      </c>
      <c r="C33" s="12" t="s">
        <v>31</v>
      </c>
      <c r="D33" s="13">
        <v>2011</v>
      </c>
      <c r="E33" s="13">
        <v>2018</v>
      </c>
      <c r="F33" s="14">
        <v>35273927</v>
      </c>
      <c r="G33" s="14">
        <v>15226500</v>
      </c>
      <c r="H33" s="14">
        <v>18982705</v>
      </c>
      <c r="I33" s="14"/>
      <c r="J33" s="14"/>
      <c r="K33" s="14"/>
      <c r="L33" s="14">
        <f t="shared" si="9"/>
        <v>34209205</v>
      </c>
    </row>
    <row r="34" spans="1:12" ht="36" customHeight="1">
      <c r="A34" s="10" t="s">
        <v>47</v>
      </c>
      <c r="B34" s="11" t="s">
        <v>253</v>
      </c>
      <c r="C34" s="12" t="s">
        <v>31</v>
      </c>
      <c r="D34" s="13">
        <v>2016</v>
      </c>
      <c r="E34" s="13">
        <v>2018</v>
      </c>
      <c r="F34" s="14">
        <v>320000</v>
      </c>
      <c r="G34" s="14">
        <v>160000</v>
      </c>
      <c r="H34" s="14">
        <v>80000</v>
      </c>
      <c r="I34" s="14"/>
      <c r="J34" s="14"/>
      <c r="K34" s="14"/>
      <c r="L34" s="14">
        <f t="shared" si="9"/>
        <v>240000</v>
      </c>
    </row>
    <row r="35" spans="1:12" ht="46.5" customHeight="1">
      <c r="A35" s="10" t="s">
        <v>48</v>
      </c>
      <c r="B35" s="11" t="s">
        <v>254</v>
      </c>
      <c r="C35" s="12" t="s">
        <v>31</v>
      </c>
      <c r="D35" s="13">
        <v>2017</v>
      </c>
      <c r="E35" s="13">
        <v>2018</v>
      </c>
      <c r="F35" s="14">
        <v>200000</v>
      </c>
      <c r="G35" s="14">
        <v>40000</v>
      </c>
      <c r="H35" s="14">
        <v>160000</v>
      </c>
      <c r="I35" s="14"/>
      <c r="J35" s="14"/>
      <c r="K35" s="14"/>
      <c r="L35" s="14">
        <f t="shared" si="9"/>
        <v>200000</v>
      </c>
    </row>
    <row r="36" spans="1:12" ht="48.75" customHeight="1">
      <c r="A36" s="10" t="s">
        <v>49</v>
      </c>
      <c r="B36" s="11" t="s">
        <v>255</v>
      </c>
      <c r="C36" s="12" t="s">
        <v>31</v>
      </c>
      <c r="D36" s="13">
        <v>2017</v>
      </c>
      <c r="E36" s="13">
        <v>2018</v>
      </c>
      <c r="F36" s="14">
        <v>600000</v>
      </c>
      <c r="G36" s="14">
        <v>70000</v>
      </c>
      <c r="H36" s="14">
        <v>530000</v>
      </c>
      <c r="I36" s="14"/>
      <c r="J36" s="14"/>
      <c r="K36" s="14"/>
      <c r="L36" s="14">
        <f t="shared" si="9"/>
        <v>600000</v>
      </c>
    </row>
    <row r="37" spans="1:12" ht="33.75" customHeight="1">
      <c r="A37" s="10" t="s">
        <v>50</v>
      </c>
      <c r="B37" s="11" t="s">
        <v>256</v>
      </c>
      <c r="C37" s="12" t="s">
        <v>31</v>
      </c>
      <c r="D37" s="13">
        <v>2017</v>
      </c>
      <c r="E37" s="13">
        <v>2019</v>
      </c>
      <c r="F37" s="14">
        <v>300000</v>
      </c>
      <c r="G37" s="14">
        <v>100000</v>
      </c>
      <c r="H37" s="14">
        <v>100000</v>
      </c>
      <c r="I37" s="14">
        <v>100000</v>
      </c>
      <c r="J37" s="14"/>
      <c r="K37" s="14"/>
      <c r="L37" s="14">
        <f t="shared" si="9"/>
        <v>300000</v>
      </c>
    </row>
    <row r="38" spans="1:12" ht="34.5" customHeight="1">
      <c r="A38" s="10" t="s">
        <v>252</v>
      </c>
      <c r="B38" s="11" t="s">
        <v>257</v>
      </c>
      <c r="C38" s="12" t="s">
        <v>31</v>
      </c>
      <c r="D38" s="13">
        <v>2017</v>
      </c>
      <c r="E38" s="13">
        <v>2021</v>
      </c>
      <c r="F38" s="14">
        <v>1975000</v>
      </c>
      <c r="G38" s="14">
        <v>1175000</v>
      </c>
      <c r="H38" s="14">
        <v>200000</v>
      </c>
      <c r="I38" s="14">
        <v>200000</v>
      </c>
      <c r="J38" s="14">
        <v>200000</v>
      </c>
      <c r="K38" s="14">
        <v>200000</v>
      </c>
      <c r="L38" s="14">
        <f t="shared" si="9"/>
        <v>1975000</v>
      </c>
    </row>
    <row r="39" spans="1:12" ht="36.75" customHeight="1">
      <c r="A39" s="10" t="s">
        <v>264</v>
      </c>
      <c r="B39" s="11" t="s">
        <v>265</v>
      </c>
      <c r="C39" s="12" t="s">
        <v>31</v>
      </c>
      <c r="D39" s="13">
        <v>2017</v>
      </c>
      <c r="E39" s="13">
        <v>2019</v>
      </c>
      <c r="F39" s="14">
        <v>300000</v>
      </c>
      <c r="G39" s="14">
        <v>100000</v>
      </c>
      <c r="H39" s="14">
        <v>100000</v>
      </c>
      <c r="I39" s="14">
        <v>100000</v>
      </c>
      <c r="J39" s="14"/>
      <c r="K39" s="14"/>
      <c r="L39" s="14">
        <f t="shared" ref="L39" si="10">SUM(G39:K39)</f>
        <v>300000</v>
      </c>
    </row>
    <row r="40" spans="1:12" ht="35.25" customHeight="1">
      <c r="A40" s="10" t="s">
        <v>275</v>
      </c>
      <c r="B40" s="11" t="s">
        <v>276</v>
      </c>
      <c r="C40" s="12" t="s">
        <v>17</v>
      </c>
      <c r="D40" s="13">
        <v>2017</v>
      </c>
      <c r="E40" s="13">
        <v>2018</v>
      </c>
      <c r="F40" s="14">
        <v>3000000</v>
      </c>
      <c r="G40" s="14">
        <v>1500000</v>
      </c>
      <c r="H40" s="14">
        <v>1500000</v>
      </c>
      <c r="I40" s="14"/>
      <c r="J40" s="14"/>
      <c r="K40" s="14"/>
      <c r="L40" s="14">
        <f t="shared" ref="L40" si="11">SUM(G40:K40)</f>
        <v>3000000</v>
      </c>
    </row>
  </sheetData>
  <sheetProtection algorithmName="SHA-512" hashValue="0G7hMxP2+dIdLsItrmml6mxZvocQjPL6+9udRGKkjNdF6tUidxH2085V9DIGHRXMf3ooMBXkzFug5vRsHZYx6Q==" saltValue="XLVrd7him2nuhXnfkAvwzA==" spinCount="100000" sheet="1" objects="1" scenarios="1" formatColumns="0" formatRows="0"/>
  <mergeCells count="20"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  <mergeCell ref="B25:E25"/>
    <mergeCell ref="B16:E16"/>
    <mergeCell ref="B19:E19"/>
    <mergeCell ref="B20:E20"/>
    <mergeCell ref="B21:E21"/>
    <mergeCell ref="B22:E22"/>
    <mergeCell ref="B23:E23"/>
  </mergeCells>
  <pageMargins left="0.35" right="0.15748031496062992" top="1.25" bottom="0.94" header="0.56999999999999995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2017-07-11T08:54:41Z</cp:lastPrinted>
  <dcterms:created xsi:type="dcterms:W3CDTF">2015-10-13T07:48:25Z</dcterms:created>
  <dcterms:modified xsi:type="dcterms:W3CDTF">2017-07-11T08:54:48Z</dcterms:modified>
</cp:coreProperties>
</file>