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styczeń 2017\"/>
    </mc:Choice>
  </mc:AlternateContent>
  <bookViews>
    <workbookView xWindow="0" yWindow="0" windowWidth="19200" windowHeight="10185"/>
  </bookViews>
  <sheets>
    <sheet name="Zał.1" sheetId="16" r:id="rId1"/>
    <sheet name="Zał.2 " sheetId="1" r:id="rId2"/>
  </sheets>
  <externalReferences>
    <externalReference r:id="rId3"/>
  </externalReferences>
  <definedNames>
    <definedName name="_xlnm.Print_Area" localSheetId="0">Zał.1!$A$1:$U$112</definedName>
    <definedName name="_xlnm.Print_Area" localSheetId="1">'Zał.2 '!$A$1:$L$38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16" l="1"/>
  <c r="T108" i="16"/>
  <c r="S108" i="16"/>
  <c r="R108" i="16"/>
  <c r="Q108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U107" i="16"/>
  <c r="T107" i="16"/>
  <c r="S107" i="16"/>
  <c r="R107" i="16"/>
  <c r="Q107" i="16"/>
  <c r="P107" i="16"/>
  <c r="O107" i="16"/>
  <c r="N107" i="16"/>
  <c r="M107" i="16"/>
  <c r="L107" i="16"/>
  <c r="K107" i="16"/>
  <c r="J107" i="16"/>
  <c r="I107" i="16"/>
  <c r="H107" i="16"/>
  <c r="G107" i="16"/>
  <c r="F107" i="16"/>
  <c r="E107" i="16"/>
  <c r="D107" i="16"/>
  <c r="C107" i="16"/>
  <c r="U106" i="16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D106" i="16"/>
  <c r="C106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E103" i="16"/>
  <c r="D103" i="16"/>
  <c r="C103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U100" i="16"/>
  <c r="T100" i="16"/>
  <c r="S100" i="16"/>
  <c r="R100" i="16"/>
  <c r="Q100" i="16"/>
  <c r="P100" i="16"/>
  <c r="O100" i="16"/>
  <c r="N100" i="16"/>
  <c r="M100" i="16"/>
  <c r="L100" i="16"/>
  <c r="K100" i="16"/>
  <c r="J100" i="16"/>
  <c r="I100" i="16"/>
  <c r="H100" i="16"/>
  <c r="G100" i="16"/>
  <c r="F100" i="16"/>
  <c r="E100" i="16"/>
  <c r="D100" i="16"/>
  <c r="C100" i="16"/>
  <c r="U99" i="16"/>
  <c r="T99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C99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U96" i="16"/>
  <c r="T96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C96" i="16"/>
  <c r="U95" i="16"/>
  <c r="T95" i="16"/>
  <c r="S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U94" i="16"/>
  <c r="T94" i="16"/>
  <c r="S94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D94" i="16"/>
  <c r="C94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U92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C92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D91" i="16"/>
  <c r="C91" i="16"/>
  <c r="U90" i="16"/>
  <c r="T90" i="16"/>
  <c r="S90" i="16"/>
  <c r="R90" i="16"/>
  <c r="Q90" i="16"/>
  <c r="P90" i="16"/>
  <c r="O90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U82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U79" i="16"/>
  <c r="T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U51" i="16"/>
  <c r="T51" i="16"/>
  <c r="S51" i="16"/>
  <c r="R51" i="16"/>
  <c r="Q51" i="16"/>
  <c r="P51" i="16"/>
  <c r="P111" i="16" s="1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U46" i="16"/>
  <c r="U110" i="16" s="1"/>
  <c r="T46" i="16"/>
  <c r="T110" i="16" s="1"/>
  <c r="S46" i="16"/>
  <c r="S110" i="16" s="1"/>
  <c r="R46" i="16"/>
  <c r="R110" i="16" s="1"/>
  <c r="Q46" i="16"/>
  <c r="Q110" i="16" s="1"/>
  <c r="P46" i="16"/>
  <c r="P110" i="16" s="1"/>
  <c r="O46" i="16"/>
  <c r="O110" i="16" s="1"/>
  <c r="N46" i="16"/>
  <c r="N110" i="16" s="1"/>
  <c r="M46" i="16"/>
  <c r="M110" i="16" s="1"/>
  <c r="L46" i="16"/>
  <c r="L110" i="16" s="1"/>
  <c r="K46" i="16"/>
  <c r="K110" i="16" s="1"/>
  <c r="J46" i="16"/>
  <c r="J110" i="16" s="1"/>
  <c r="I46" i="16"/>
  <c r="I110" i="16" s="1"/>
  <c r="H46" i="16"/>
  <c r="H110" i="16" s="1"/>
  <c r="G46" i="16"/>
  <c r="G110" i="16" s="1"/>
  <c r="F46" i="16"/>
  <c r="E46" i="16"/>
  <c r="D46" i="16"/>
  <c r="C46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G3" i="16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G2" i="16"/>
  <c r="G111" i="16" l="1"/>
  <c r="K111" i="16"/>
  <c r="O111" i="16"/>
  <c r="S111" i="16"/>
  <c r="I111" i="16"/>
  <c r="M55" i="16"/>
  <c r="U55" i="16"/>
  <c r="F3" i="16"/>
  <c r="E3" i="16" s="1"/>
  <c r="D3" i="16" s="1"/>
  <c r="C3" i="16" s="1"/>
  <c r="H56" i="16"/>
  <c r="T56" i="16"/>
  <c r="Q112" i="16"/>
  <c r="G56" i="16"/>
  <c r="K56" i="16"/>
  <c r="O56" i="16"/>
  <c r="S56" i="16"/>
  <c r="L56" i="16"/>
  <c r="G112" i="16"/>
  <c r="U111" i="16"/>
  <c r="M112" i="16"/>
  <c r="K112" i="16"/>
  <c r="J111" i="16"/>
  <c r="J112" i="16"/>
  <c r="J56" i="16"/>
  <c r="N111" i="16"/>
  <c r="N56" i="16"/>
  <c r="N112" i="16"/>
  <c r="R111" i="16"/>
  <c r="R56" i="16"/>
  <c r="J55" i="16"/>
  <c r="H112" i="16"/>
  <c r="H111" i="16"/>
  <c r="H55" i="16"/>
  <c r="L112" i="16"/>
  <c r="L55" i="16"/>
  <c r="L111" i="16"/>
  <c r="P112" i="16"/>
  <c r="P55" i="16"/>
  <c r="T112" i="16"/>
  <c r="T111" i="16"/>
  <c r="T55" i="16"/>
  <c r="N55" i="16"/>
  <c r="P56" i="16"/>
  <c r="R55" i="16"/>
  <c r="R112" i="16"/>
  <c r="G55" i="16"/>
  <c r="K55" i="16"/>
  <c r="O55" i="16"/>
  <c r="S55" i="16"/>
  <c r="I56" i="16"/>
  <c r="M56" i="16"/>
  <c r="Q56" i="16"/>
  <c r="U56" i="16"/>
  <c r="Q111" i="16"/>
  <c r="I112" i="16"/>
  <c r="S112" i="16"/>
  <c r="M111" i="16"/>
  <c r="O112" i="16"/>
  <c r="U112" i="16"/>
  <c r="I55" i="16"/>
  <c r="Q55" i="16"/>
  <c r="G10" i="1" l="1"/>
  <c r="H10" i="1"/>
  <c r="I10" i="1"/>
  <c r="J10" i="1"/>
  <c r="K10" i="1"/>
  <c r="L10" i="1"/>
  <c r="F10" i="1"/>
  <c r="L14" i="1"/>
  <c r="G21" i="1" l="1"/>
  <c r="H21" i="1"/>
  <c r="J21" i="1"/>
  <c r="K21" i="1"/>
  <c r="G22" i="1"/>
  <c r="H22" i="1"/>
  <c r="I22" i="1"/>
  <c r="I21" i="1" s="1"/>
  <c r="J22" i="1"/>
  <c r="K22" i="1"/>
  <c r="F22" i="1"/>
  <c r="L23" i="1"/>
  <c r="L22" i="1" s="1"/>
  <c r="L21" i="1" s="1"/>
  <c r="L13" i="1" l="1"/>
  <c r="G24" i="1" l="1"/>
  <c r="H24" i="1"/>
  <c r="I24" i="1"/>
  <c r="J24" i="1"/>
  <c r="K24" i="1"/>
  <c r="F24" i="1"/>
  <c r="L38" i="1"/>
  <c r="G15" i="1" l="1"/>
  <c r="H15" i="1"/>
  <c r="I15" i="1"/>
  <c r="J15" i="1"/>
  <c r="K15" i="1"/>
  <c r="L12" i="1"/>
  <c r="L11" i="1" l="1"/>
  <c r="L17" i="1"/>
  <c r="L16" i="1"/>
  <c r="L20" i="1"/>
  <c r="L19" i="1"/>
  <c r="K18" i="1"/>
  <c r="L26" i="1"/>
  <c r="L27" i="1"/>
  <c r="L28" i="1"/>
  <c r="L29" i="1"/>
  <c r="L30" i="1"/>
  <c r="L31" i="1"/>
  <c r="L32" i="1"/>
  <c r="L33" i="1"/>
  <c r="L34" i="1"/>
  <c r="L35" i="1"/>
  <c r="L36" i="1"/>
  <c r="L37" i="1"/>
  <c r="L25" i="1"/>
  <c r="L24" i="1" l="1"/>
  <c r="L15" i="1"/>
  <c r="K8" i="1"/>
  <c r="K9" i="1"/>
  <c r="K7" i="1"/>
  <c r="K6" i="1" l="1"/>
  <c r="F15" i="1" l="1"/>
  <c r="J18" i="1" l="1"/>
  <c r="I18" i="1"/>
  <c r="H18" i="1"/>
  <c r="G18" i="1"/>
  <c r="F18" i="1"/>
  <c r="J8" i="1"/>
  <c r="I8" i="1"/>
  <c r="H8" i="1"/>
  <c r="G8" i="1"/>
  <c r="L8" i="1" l="1"/>
  <c r="L18" i="1"/>
  <c r="I7" i="1"/>
  <c r="I9" i="1"/>
  <c r="I6" i="1" s="1"/>
  <c r="G7" i="1"/>
  <c r="G9" i="1"/>
  <c r="H9" i="1"/>
  <c r="H6" i="1" s="1"/>
  <c r="H7" i="1"/>
  <c r="J9" i="1"/>
  <c r="J6" i="1" s="1"/>
  <c r="J7" i="1"/>
  <c r="F21" i="1"/>
  <c r="F9" i="1"/>
  <c r="F8" i="1"/>
  <c r="F7" i="1"/>
  <c r="L7" i="1" l="1"/>
  <c r="G6" i="1"/>
  <c r="L6" i="1" s="1"/>
  <c r="L9" i="1"/>
  <c r="F6" i="1"/>
</calcChain>
</file>

<file path=xl/sharedStrings.xml><?xml version="1.0" encoding="utf-8"?>
<sst xmlns="http://schemas.openxmlformats.org/spreadsheetml/2006/main" count="485" uniqueCount="275">
  <si>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</si>
  <si>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</si>
  <si>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</si>
  <si>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</si>
  <si>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</si>
  <si>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</si>
  <si>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</si>
  <si>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</si>
  <si>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</si>
  <si>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</si>
  <si>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</si>
  <si>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</si>
  <si>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</si>
  <si>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</si>
  <si>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</si>
  <si>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</si>
  <si>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</si>
  <si>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</si>
  <si>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</si>
  <si>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</si>
  <si>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</si>
  <si>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</si>
  <si>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</si>
  <si>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</si>
  <si>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</si>
  <si>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</si>
  <si>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</si>
  <si>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</si>
  <si>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</si>
  <si>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</si>
  <si>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</si>
  <si>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</si>
  <si>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</si>
  <si>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</si>
  <si>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</si>
  <si>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</si>
  <si>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</si>
  <si>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</si>
  <si>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</si>
  <si>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</si>
  <si>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</si>
  <si>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</si>
  <si>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</si>
  <si>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</si>
  <si>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</si>
  <si>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</si>
  <si>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</si>
  <si>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</si>
  <si>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</si>
  <si>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</si>
  <si>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</si>
  <si>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</si>
  <si>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</si>
  <si>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</si>
  <si>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</si>
  <si>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</si>
  <si>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</si>
  <si>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</si>
  <si>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</si>
  <si>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</si>
  <si>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</si>
  <si>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</si>
  <si>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</si>
  <si>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</si>
  <si>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</si>
  <si>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</si>
  <si>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</si>
  <si>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</si>
  <si>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</si>
  <si>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</si>
  <si>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</si>
  <si>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</si>
  <si>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</si>
  <si>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</si>
  <si>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</si>
  <si>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</si>
  <si>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</si>
  <si>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</si>
  <si>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</si>
  <si>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</si>
  <si>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</si>
  <si>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</si>
  <si>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</si>
  <si>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</si>
  <si>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</si>
  <si>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</si>
  <si>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</si>
  <si>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</si>
  <si>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</si>
  <si>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</si>
  <si>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</si>
  <si>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</si>
  <si>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</si>
  <si>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</si>
  <si>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</si>
  <si>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</si>
  <si>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</si>
  <si>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</si>
  <si>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</si>
  <si>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</si>
  <si>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</si>
  <si>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</si>
  <si>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</si>
  <si>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</si>
  <si>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</si>
  <si>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</si>
  <si>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</si>
  <si>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</si>
  <si>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</si>
  <si>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</si>
  <si>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</si>
  <si>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</si>
  <si>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</si>
  <si>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</si>
  <si>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</si>
  <si>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</si>
  <si>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</si>
  <si>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</si>
  <si>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</si>
  <si>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</si>
  <si>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</si>
  <si>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</si>
  <si>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</si>
  <si>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</si>
  <si>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</si>
  <si>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</si>
  <si>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</si>
  <si>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</si>
  <si>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</si>
  <si>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</si>
  <si>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</si>
  <si>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</si>
  <si>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</si>
  <si>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</si>
  <si>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</si>
  <si>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</si>
  <si>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</si>
  <si>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</si>
  <si>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</si>
  <si>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</si>
  <si>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</si>
  <si>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</si>
  <si>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</si>
  <si>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</si>
  <si>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</si>
  <si>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</si>
  <si>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</si>
  <si>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</si>
  <si>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</si>
  <si>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</si>
  <si>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</si>
  <si>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</si>
  <si>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</si>
  <si>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</si>
  <si>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</si>
  <si>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</si>
  <si>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</si>
  <si>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</si>
  <si>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</si>
  <si>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</si>
  <si>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</si>
  <si>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</si>
  <si>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</si>
  <si>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</si>
  <si>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</si>
  <si>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</si>
  <si>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</si>
  <si>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</si>
  <si>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</si>
  <si>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</si>
  <si>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</si>
  <si>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</si>
  <si>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</si>
  <si>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</si>
  <si>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</si>
  <si>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</si>
  <si>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</si>
  <si>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</si>
  <si>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</si>
  <si>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</si>
  <si>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</si>
  <si>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</si>
  <si>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</si>
  <si>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</si>
  <si>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</si>
  <si>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</si>
  <si>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</si>
  <si>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</si>
  <si>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</si>
  <si>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</si>
  <si>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</si>
  <si>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</si>
  <si>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</si>
  <si>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</si>
  <si>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</si>
  <si>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</si>
  <si>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</si>
  <si>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</si>
  <si>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</si>
  <si>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</si>
  <si>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</si>
  <si>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</si>
  <si>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</si>
  <si>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</si>
  <si>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</si>
  <si>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</si>
  <si>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</si>
  <si>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</si>
  <si>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</si>
  <si>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</si>
  <si>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</si>
  <si>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</si>
  <si>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</si>
  <si>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</si>
  <si>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</si>
  <si>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</si>
  <si>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</si>
  <si>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</si>
  <si>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</si>
  <si>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</si>
  <si>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</si>
  <si>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</si>
  <si>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</si>
  <si>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</si>
  <si>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</si>
  <si>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</si>
  <si>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</si>
  <si>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</si>
  <si>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</si>
  <si>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</si>
  <si>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</si>
  <si>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</si>
  <si>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</si>
  <si>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</si>
  <si>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</si>
  <si>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</si>
  <si>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</si>
  <si>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</si>
  <si>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</si>
  <si>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</si>
  <si>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</si>
  <si>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</si>
  <si>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</si>
  <si>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</si>
  <si>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</si>
  <si>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</si>
  <si>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</si>
  <si>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</si>
  <si>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</si>
  <si>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Europejczycy z Powiatu Otwockiego</t>
  </si>
  <si>
    <t>1.1.2.2</t>
  </si>
  <si>
    <t>Budowa zintegrowanego systemu ostrzegania i alarmowania ludności przed zjawiskami katastrofalnymi i zagrożeniami dla Powiatu Otwockiego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</si>
  <si>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</si>
  <si>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</si>
  <si>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</si>
  <si>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</si>
  <si>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</si>
  <si>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</si>
  <si>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</si>
  <si>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</si>
  <si>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</si>
  <si>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</si>
  <si>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</si>
  <si>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</si>
  <si>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</si>
  <si>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</si>
  <si>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Budowa ciągu pieszorowerowego w ciągu dróg powiatowych Nr 2772W - ul. Kard. Wyszyńskiego w Karczewie i Nr 2762W - ul. Kraszewskiego w Otwocku</t>
  </si>
  <si>
    <t>1.1.1.3</t>
  </si>
  <si>
    <t>Nowe doświadczenia zawodowe</t>
  </si>
  <si>
    <t>Dotacja na zadania z zakresu prowadzenia centrum interwencji kryzysowej</t>
  </si>
  <si>
    <t>1.3.1.1</t>
  </si>
  <si>
    <t>Wydatki na programy, projekty lub zadania związane z programami realizowanymi z udziałem środków, o których mowa w art. 5 ust. 1 pkt 2 i 3 ustawy z dnia 27 sierpnia 2009 r. o finansach publicznych (Dz. U. z 2016 r. poz. 1870, z późn. zm.), z tego:</t>
  </si>
  <si>
    <t>1.1.1.4</t>
  </si>
  <si>
    <t>Kwalifikacje po angielsku - mobilna kadra edukacyjna</t>
  </si>
  <si>
    <t>Zespół Szkół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</si>
</sst>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2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8" fillId="0" borderId="0" xfId="3" applyFont="1" applyAlignment="1" applyProtection="1">
      <alignment vertical="center"/>
    </xf>
    <xf numFmtId="0" fontId="8" fillId="0" borderId="0" xfId="3" applyFont="1" applyProtection="1"/>
    <xf numFmtId="0" fontId="19" fillId="0" borderId="0" xfId="3" applyFont="1" applyProtection="1"/>
    <xf numFmtId="0" fontId="10" fillId="0" borderId="2" xfId="3" applyFont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4" fontId="20" fillId="0" borderId="1" xfId="1" applyNumberFormat="1" applyFont="1" applyBorder="1" applyAlignment="1"/>
    <xf numFmtId="0" fontId="20" fillId="0" borderId="0" xfId="1" applyFont="1" applyAlignment="1">
      <alignment vertical="center"/>
    </xf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WPF%20stycze&#32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U1"/>
    </sheetView>
  </sheetViews>
  <sheetFormatPr defaultRowHeight="14.25"/>
  <cols>
    <col min="1" max="1" width="6.5703125" style="21" customWidth="1"/>
    <col min="2" max="2" width="29.7109375" style="107" customWidth="1"/>
    <col min="3" max="21" width="11.7109375" style="21" customWidth="1"/>
    <col min="22" max="16384" width="9.140625" style="20"/>
  </cols>
  <sheetData>
    <row r="1" spans="1:22" ht="24.75" customHeight="1">
      <c r="A1" s="121" t="s">
        <v>248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10"/>
    </row>
    <row r="2" spans="1:22" ht="15.75">
      <c r="B2" s="22"/>
      <c r="C2" s="120" t="s">
        <v>51</v>
      </c>
      <c r="D2" s="120"/>
      <c r="E2" s="113" t="s">
        <v>52</v>
      </c>
      <c r="F2" s="113" t="s">
        <v>51</v>
      </c>
      <c r="G2" s="23" t="str">
        <f>""</f>
        <v/>
      </c>
      <c r="H2" s="24"/>
      <c r="I2" s="24"/>
      <c r="J2" s="24"/>
      <c r="K2" s="24"/>
    </row>
    <row r="3" spans="1:22" ht="33" customHeight="1">
      <c r="A3" s="25" t="s">
        <v>1</v>
      </c>
      <c r="B3" s="108" t="s">
        <v>53</v>
      </c>
      <c r="C3" s="26">
        <f>+D3-1</f>
        <v>2014</v>
      </c>
      <c r="D3" s="27">
        <f>+E3-1</f>
        <v>2015</v>
      </c>
      <c r="E3" s="27">
        <f>+F3</f>
        <v>2016</v>
      </c>
      <c r="F3" s="28">
        <f>+G3-1</f>
        <v>2016</v>
      </c>
      <c r="G3" s="29">
        <f>+[1]DaneZrodlowe!$N$1</f>
        <v>2017</v>
      </c>
      <c r="H3" s="30">
        <f>+G3+1</f>
        <v>2018</v>
      </c>
      <c r="I3" s="30">
        <f t="shared" ref="I3:U3" si="0">+H3+1</f>
        <v>2019</v>
      </c>
      <c r="J3" s="30">
        <f t="shared" si="0"/>
        <v>2020</v>
      </c>
      <c r="K3" s="30">
        <f t="shared" si="0"/>
        <v>2021</v>
      </c>
      <c r="L3" s="30">
        <f t="shared" si="0"/>
        <v>2022</v>
      </c>
      <c r="M3" s="30">
        <f t="shared" si="0"/>
        <v>2023</v>
      </c>
      <c r="N3" s="30">
        <f t="shared" si="0"/>
        <v>2024</v>
      </c>
      <c r="O3" s="30">
        <f t="shared" si="0"/>
        <v>2025</v>
      </c>
      <c r="P3" s="30">
        <f t="shared" si="0"/>
        <v>2026</v>
      </c>
      <c r="Q3" s="30">
        <f t="shared" si="0"/>
        <v>2027</v>
      </c>
      <c r="R3" s="30">
        <f t="shared" si="0"/>
        <v>2028</v>
      </c>
      <c r="S3" s="30">
        <f t="shared" si="0"/>
        <v>2029</v>
      </c>
      <c r="T3" s="30">
        <f t="shared" si="0"/>
        <v>2030</v>
      </c>
      <c r="U3" s="30">
        <f t="shared" si="0"/>
        <v>2031</v>
      </c>
      <c r="V3" s="111"/>
    </row>
    <row r="4" spans="1:22" ht="17.25" customHeight="1">
      <c r="A4" s="31">
        <v>1</v>
      </c>
      <c r="B4" s="32" t="s">
        <v>54</v>
      </c>
      <c r="C4" s="33">
        <f>109073534.78</f>
        <v>109073534.78</v>
      </c>
      <c r="D4" s="34">
        <f>113412610.88</f>
        <v>113412610.88</v>
      </c>
      <c r="E4" s="34">
        <f>122956162</f>
        <v>122956162</v>
      </c>
      <c r="F4" s="35">
        <f>119050697</f>
        <v>119050697</v>
      </c>
      <c r="G4" s="36">
        <f>127355995</f>
        <v>127355995</v>
      </c>
      <c r="H4" s="37">
        <f>134885612</f>
        <v>134885612</v>
      </c>
      <c r="I4" s="37">
        <f>135181901</f>
        <v>135181901</v>
      </c>
      <c r="J4" s="37">
        <f>129629395</f>
        <v>129629395</v>
      </c>
      <c r="K4" s="37">
        <f>133967943</f>
        <v>133967943</v>
      </c>
      <c r="L4" s="37">
        <f>138589189</f>
        <v>138589189</v>
      </c>
      <c r="M4" s="37">
        <f>143068772</f>
        <v>143068772</v>
      </c>
      <c r="N4" s="37">
        <f>147646093</f>
        <v>147646093</v>
      </c>
      <c r="O4" s="37">
        <f>152412272</f>
        <v>152412272</v>
      </c>
      <c r="P4" s="37">
        <f>156718140</f>
        <v>156718140</v>
      </c>
      <c r="Q4" s="37">
        <f>161254266</f>
        <v>161254266</v>
      </c>
      <c r="R4" s="37">
        <f>165921940</f>
        <v>165921940</v>
      </c>
      <c r="S4" s="37">
        <f>170559354</f>
        <v>170559354</v>
      </c>
      <c r="T4" s="37">
        <f>175156357</f>
        <v>175156357</v>
      </c>
      <c r="U4" s="37">
        <f>179877479</f>
        <v>179877479</v>
      </c>
      <c r="V4" s="112"/>
    </row>
    <row r="5" spans="1:22" ht="17.25" customHeight="1">
      <c r="A5" s="38" t="s">
        <v>55</v>
      </c>
      <c r="B5" s="39" t="s">
        <v>56</v>
      </c>
      <c r="C5" s="40">
        <f>107100203.64</f>
        <v>107100203.64</v>
      </c>
      <c r="D5" s="41">
        <f>110702007.93</f>
        <v>110702007.93000001</v>
      </c>
      <c r="E5" s="41">
        <f>111630422</f>
        <v>111630422</v>
      </c>
      <c r="F5" s="42">
        <f>111927775</f>
        <v>111927775</v>
      </c>
      <c r="G5" s="43">
        <f>114859676</f>
        <v>114859676</v>
      </c>
      <c r="H5" s="44">
        <f>119135612</f>
        <v>119135612</v>
      </c>
      <c r="I5" s="44">
        <f>123781901</f>
        <v>123781901</v>
      </c>
      <c r="J5" s="44">
        <f>128609395</f>
        <v>128609395</v>
      </c>
      <c r="K5" s="44">
        <f>133367943</f>
        <v>133367943</v>
      </c>
      <c r="L5" s="44">
        <f>138169189</f>
        <v>138169189</v>
      </c>
      <c r="M5" s="44">
        <f>142728772</f>
        <v>142728772</v>
      </c>
      <c r="N5" s="44">
        <f>147296093</f>
        <v>147296093</v>
      </c>
      <c r="O5" s="44">
        <f>151862272</f>
        <v>151862272</v>
      </c>
      <c r="P5" s="44">
        <f>156418140</f>
        <v>156418140</v>
      </c>
      <c r="Q5" s="44">
        <f>160954266</f>
        <v>160954266</v>
      </c>
      <c r="R5" s="44">
        <f>165621940</f>
        <v>165621940</v>
      </c>
      <c r="S5" s="44">
        <f>170259354</f>
        <v>170259354</v>
      </c>
      <c r="T5" s="44">
        <f>174856357</f>
        <v>174856357</v>
      </c>
      <c r="U5" s="44">
        <f>179577479</f>
        <v>179577479</v>
      </c>
    </row>
    <row r="6" spans="1:22" ht="30" customHeight="1">
      <c r="A6" s="38" t="s">
        <v>57</v>
      </c>
      <c r="B6" s="39" t="s">
        <v>58</v>
      </c>
      <c r="C6" s="40">
        <f>33469606</f>
        <v>33469606</v>
      </c>
      <c r="D6" s="41">
        <f>36117192</f>
        <v>36117192</v>
      </c>
      <c r="E6" s="41">
        <f>38474381</f>
        <v>38474381</v>
      </c>
      <c r="F6" s="42">
        <f>38474381</f>
        <v>38474381</v>
      </c>
      <c r="G6" s="43">
        <f>43075831</f>
        <v>43075831</v>
      </c>
      <c r="H6" s="44">
        <f>44712713</f>
        <v>44712713</v>
      </c>
      <c r="I6" s="44">
        <f>46456509</f>
        <v>46456509</v>
      </c>
      <c r="J6" s="44">
        <f>48268313</f>
        <v>48268313</v>
      </c>
      <c r="K6" s="44">
        <f>50054241</f>
        <v>50054241</v>
      </c>
      <c r="L6" s="44">
        <f>51856194</f>
        <v>51856194</v>
      </c>
      <c r="M6" s="44">
        <f>53567448</f>
        <v>53567448</v>
      </c>
      <c r="N6" s="44">
        <f>55281606</f>
        <v>55281606</v>
      </c>
      <c r="O6" s="44">
        <f>56995336</f>
        <v>56995336</v>
      </c>
      <c r="P6" s="44">
        <f>58705196</f>
        <v>58705196</v>
      </c>
      <c r="Q6" s="44">
        <f>60407647</f>
        <v>60407647</v>
      </c>
      <c r="R6" s="44">
        <f>62159469</f>
        <v>62159469</v>
      </c>
      <c r="S6" s="44">
        <f>63899934</f>
        <v>63899934</v>
      </c>
      <c r="T6" s="44">
        <f>65625232</f>
        <v>65625232</v>
      </c>
      <c r="U6" s="44">
        <f>67397113</f>
        <v>67397113</v>
      </c>
    </row>
    <row r="7" spans="1:22" ht="30" customHeight="1">
      <c r="A7" s="38" t="s">
        <v>59</v>
      </c>
      <c r="B7" s="39" t="s">
        <v>60</v>
      </c>
      <c r="C7" s="40">
        <f>766855.31</f>
        <v>766855.31</v>
      </c>
      <c r="D7" s="41">
        <f>893268.75</f>
        <v>893268.75</v>
      </c>
      <c r="E7" s="41">
        <f>900000</f>
        <v>900000</v>
      </c>
      <c r="F7" s="42">
        <f>900000</f>
        <v>900000</v>
      </c>
      <c r="G7" s="43">
        <f>850000</f>
        <v>850000</v>
      </c>
      <c r="H7" s="44">
        <f>882300</f>
        <v>882300</v>
      </c>
      <c r="I7" s="44">
        <f>916710</f>
        <v>916710</v>
      </c>
      <c r="J7" s="44">
        <f>952462</f>
        <v>952462</v>
      </c>
      <c r="K7" s="44">
        <f>987703</f>
        <v>987703</v>
      </c>
      <c r="L7" s="44">
        <f>1023260</f>
        <v>1023260</v>
      </c>
      <c r="M7" s="44">
        <f>1057028</f>
        <v>1057028</v>
      </c>
      <c r="N7" s="44">
        <f>1090853</f>
        <v>1090853</v>
      </c>
      <c r="O7" s="44">
        <f>1124669</f>
        <v>1124669</v>
      </c>
      <c r="P7" s="44">
        <f>1158409</f>
        <v>1158409</v>
      </c>
      <c r="Q7" s="44">
        <f>1192003</f>
        <v>1192003</v>
      </c>
      <c r="R7" s="44">
        <f>1226571</f>
        <v>1226571</v>
      </c>
      <c r="S7" s="44">
        <f>1260915</f>
        <v>1260915</v>
      </c>
      <c r="T7" s="44">
        <f>1294960</f>
        <v>1294960</v>
      </c>
      <c r="U7" s="44">
        <f>1329924</f>
        <v>1329924</v>
      </c>
    </row>
    <row r="8" spans="1:22" ht="17.25" customHeight="1">
      <c r="A8" s="38" t="s">
        <v>61</v>
      </c>
      <c r="B8" s="39" t="s">
        <v>62</v>
      </c>
      <c r="C8" s="40">
        <f>3961887.72</f>
        <v>3961887.72</v>
      </c>
      <c r="D8" s="41">
        <f>4259449.62</f>
        <v>4259449.62</v>
      </c>
      <c r="E8" s="41">
        <f>4733297</f>
        <v>4733297</v>
      </c>
      <c r="F8" s="42">
        <f>4604309</f>
        <v>4604309</v>
      </c>
      <c r="G8" s="43">
        <f>4799500</f>
        <v>4799500</v>
      </c>
      <c r="H8" s="44">
        <f>4981881</f>
        <v>4981881</v>
      </c>
      <c r="I8" s="44">
        <f>5176174</f>
        <v>5176174</v>
      </c>
      <c r="J8" s="44">
        <f>5378045</f>
        <v>5378045</v>
      </c>
      <c r="K8" s="44">
        <f>5577033</f>
        <v>5577033</v>
      </c>
      <c r="L8" s="44">
        <f>5777806</f>
        <v>5777806</v>
      </c>
      <c r="M8" s="44">
        <f>5968474</f>
        <v>5968474</v>
      </c>
      <c r="N8" s="44">
        <f>6159465</f>
        <v>6159465</v>
      </c>
      <c r="O8" s="44">
        <f>6350408</f>
        <v>6350408</v>
      </c>
      <c r="P8" s="44">
        <f>6540920</f>
        <v>6540920</v>
      </c>
      <c r="Q8" s="44">
        <f>6730607</f>
        <v>6730607</v>
      </c>
      <c r="R8" s="44">
        <f>6925795</f>
        <v>6925795</v>
      </c>
      <c r="S8" s="44">
        <f>7119717</f>
        <v>7119717</v>
      </c>
      <c r="T8" s="44">
        <f>7311949</f>
        <v>7311949</v>
      </c>
      <c r="U8" s="44">
        <f>7509372</f>
        <v>7509372</v>
      </c>
    </row>
    <row r="9" spans="1:22" ht="17.25" customHeight="1">
      <c r="A9" s="38" t="s">
        <v>63</v>
      </c>
      <c r="B9" s="39" t="s">
        <v>64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  <c r="U9" s="44">
        <f>0</f>
        <v>0</v>
      </c>
    </row>
    <row r="10" spans="1:22" ht="17.25" customHeight="1">
      <c r="A10" s="38" t="s">
        <v>65</v>
      </c>
      <c r="B10" s="39" t="s">
        <v>66</v>
      </c>
      <c r="C10" s="40">
        <f>45953165</f>
        <v>45953165</v>
      </c>
      <c r="D10" s="41">
        <f>45930651</f>
        <v>45930651</v>
      </c>
      <c r="E10" s="41">
        <f>44868892</f>
        <v>44868892</v>
      </c>
      <c r="F10" s="42">
        <f>44895602</f>
        <v>44895602</v>
      </c>
      <c r="G10" s="43">
        <f>44418790</f>
        <v>44418790</v>
      </c>
      <c r="H10" s="44">
        <f>46106704</f>
        <v>46106704</v>
      </c>
      <c r="I10" s="44">
        <f>47904865</f>
        <v>47904865</v>
      </c>
      <c r="J10" s="44">
        <f>49773155</f>
        <v>49773155</v>
      </c>
      <c r="K10" s="44">
        <f>51614762</f>
        <v>51614762</v>
      </c>
      <c r="L10" s="44">
        <f>53472893</f>
        <v>53472893</v>
      </c>
      <c r="M10" s="44">
        <f>55237498</f>
        <v>55237498</v>
      </c>
      <c r="N10" s="44">
        <f>57005098</f>
        <v>57005098</v>
      </c>
      <c r="O10" s="44">
        <f>58772256</f>
        <v>58772256</v>
      </c>
      <c r="P10" s="44">
        <f>60535424</f>
        <v>60535424</v>
      </c>
      <c r="Q10" s="44">
        <f>62290951</f>
        <v>62290951</v>
      </c>
      <c r="R10" s="44">
        <f>64097389</f>
        <v>64097389</v>
      </c>
      <c r="S10" s="44">
        <f>65892116</f>
        <v>65892116</v>
      </c>
      <c r="T10" s="44">
        <f>67671203</f>
        <v>67671203</v>
      </c>
      <c r="U10" s="44">
        <f>69498325</f>
        <v>69498325</v>
      </c>
    </row>
    <row r="11" spans="1:22" ht="29.25" customHeight="1">
      <c r="A11" s="38" t="s">
        <v>67</v>
      </c>
      <c r="B11" s="39" t="s">
        <v>68</v>
      </c>
      <c r="C11" s="40">
        <f>16129500.75</f>
        <v>16129500.75</v>
      </c>
      <c r="D11" s="41">
        <f>15039810.53</f>
        <v>15039810.529999999</v>
      </c>
      <c r="E11" s="41">
        <f>16162865</f>
        <v>16162865</v>
      </c>
      <c r="F11" s="42">
        <f>16447192</f>
        <v>16447192</v>
      </c>
      <c r="G11" s="43">
        <f>15305185</f>
        <v>15305185</v>
      </c>
      <c r="H11" s="44">
        <f>15798051</f>
        <v>15798051</v>
      </c>
      <c r="I11" s="44">
        <f>16414175</f>
        <v>16414175</v>
      </c>
      <c r="J11" s="44">
        <f>17054328</f>
        <v>17054328</v>
      </c>
      <c r="K11" s="44">
        <f>17685338</f>
        <v>17685338</v>
      </c>
      <c r="L11" s="44">
        <f>18322010</f>
        <v>18322010</v>
      </c>
      <c r="M11" s="44">
        <f>18926636</f>
        <v>18926636</v>
      </c>
      <c r="N11" s="44">
        <f>19532288</f>
        <v>19532288</v>
      </c>
      <c r="O11" s="44">
        <f>20137789</f>
        <v>20137789</v>
      </c>
      <c r="P11" s="44">
        <f>20741923</f>
        <v>20741923</v>
      </c>
      <c r="Q11" s="44">
        <f>21343439</f>
        <v>21343439</v>
      </c>
      <c r="R11" s="44">
        <f>21962399</f>
        <v>21962399</v>
      </c>
      <c r="S11" s="44">
        <f>22577346</f>
        <v>22577346</v>
      </c>
      <c r="T11" s="44">
        <f>23186934</f>
        <v>23186934</v>
      </c>
      <c r="U11" s="44">
        <f>23812981</f>
        <v>23812981</v>
      </c>
    </row>
    <row r="12" spans="1:22" ht="17.25" customHeight="1">
      <c r="A12" s="38" t="s">
        <v>69</v>
      </c>
      <c r="B12" s="39" t="s">
        <v>70</v>
      </c>
      <c r="C12" s="40">
        <f>1973331.14</f>
        <v>1973331.14</v>
      </c>
      <c r="D12" s="41">
        <f>2710602.95</f>
        <v>2710602.95</v>
      </c>
      <c r="E12" s="41">
        <f>11325740</f>
        <v>11325740</v>
      </c>
      <c r="F12" s="42">
        <f>7122922</f>
        <v>7122922</v>
      </c>
      <c r="G12" s="43">
        <f>12496319</f>
        <v>12496319</v>
      </c>
      <c r="H12" s="44">
        <f>15750000</f>
        <v>15750000</v>
      </c>
      <c r="I12" s="44">
        <f>11400000</f>
        <v>11400000</v>
      </c>
      <c r="J12" s="44">
        <f>1020000</f>
        <v>1020000</v>
      </c>
      <c r="K12" s="44">
        <f>600000</f>
        <v>600000</v>
      </c>
      <c r="L12" s="44">
        <f>420000</f>
        <v>420000</v>
      </c>
      <c r="M12" s="44">
        <f>340000</f>
        <v>340000</v>
      </c>
      <c r="N12" s="44">
        <f>350000</f>
        <v>350000</v>
      </c>
      <c r="O12" s="44">
        <f>550000</f>
        <v>550000</v>
      </c>
      <c r="P12" s="44">
        <f t="shared" ref="P12:U12" si="1">300000</f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  <c r="U12" s="44">
        <f t="shared" si="1"/>
        <v>300000</v>
      </c>
    </row>
    <row r="13" spans="1:22" ht="17.25" customHeight="1">
      <c r="A13" s="38" t="s">
        <v>23</v>
      </c>
      <c r="B13" s="39" t="s">
        <v>71</v>
      </c>
      <c r="C13" s="40">
        <f>263195.83</f>
        <v>263195.83</v>
      </c>
      <c r="D13" s="41">
        <f>427798.86</f>
        <v>427798.86</v>
      </c>
      <c r="E13" s="41">
        <f>7505000</f>
        <v>7505000</v>
      </c>
      <c r="F13" s="42">
        <f>5272160</f>
        <v>5272160</v>
      </c>
      <c r="G13" s="43">
        <f>6004000</f>
        <v>6004000</v>
      </c>
      <c r="H13" s="44">
        <f>5000000</f>
        <v>5000000</v>
      </c>
      <c r="I13" s="44">
        <f>1650000</f>
        <v>1650000</v>
      </c>
      <c r="J13" s="44">
        <f>270000</f>
        <v>270000</v>
      </c>
      <c r="K13" s="44">
        <f>300000</f>
        <v>300000</v>
      </c>
      <c r="L13" s="44">
        <f>120000</f>
        <v>120000</v>
      </c>
      <c r="M13" s="44">
        <f>40000</f>
        <v>40000</v>
      </c>
      <c r="N13" s="44">
        <f>50000</f>
        <v>50000</v>
      </c>
      <c r="O13" s="44">
        <f>250000</f>
        <v>250000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  <c r="U13" s="44">
        <f>0</f>
        <v>0</v>
      </c>
    </row>
    <row r="14" spans="1:22" ht="30" customHeight="1">
      <c r="A14" s="38" t="s">
        <v>24</v>
      </c>
      <c r="B14" s="39" t="s">
        <v>72</v>
      </c>
      <c r="C14" s="40">
        <f>1606333</f>
        <v>1606333</v>
      </c>
      <c r="D14" s="41">
        <f>2276260</f>
        <v>2276260</v>
      </c>
      <c r="E14" s="41">
        <f>3795310</f>
        <v>3795310</v>
      </c>
      <c r="F14" s="42">
        <f>1825332</f>
        <v>1825332</v>
      </c>
      <c r="G14" s="43">
        <f>6487319</f>
        <v>6487319</v>
      </c>
      <c r="H14" s="44">
        <f>10750000</f>
        <v>10750000</v>
      </c>
      <c r="I14" s="44">
        <f>9750000</f>
        <v>9750000</v>
      </c>
      <c r="J14" s="44">
        <f>750000</f>
        <v>750000</v>
      </c>
      <c r="K14" s="44">
        <f>300000</f>
        <v>300000</v>
      </c>
      <c r="L14" s="44">
        <f t="shared" ref="L14:U14" si="2">300000</f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  <c r="U14" s="44">
        <f t="shared" si="2"/>
        <v>300000</v>
      </c>
    </row>
    <row r="15" spans="1:22" ht="17.25" customHeight="1">
      <c r="A15" s="31">
        <v>2</v>
      </c>
      <c r="B15" s="32" t="s">
        <v>73</v>
      </c>
      <c r="C15" s="33">
        <f>104368163.09</f>
        <v>104368163.09</v>
      </c>
      <c r="D15" s="34">
        <f>110915351.35</f>
        <v>110915351.34999999</v>
      </c>
      <c r="E15" s="34">
        <f>123313921</f>
        <v>123313921</v>
      </c>
      <c r="F15" s="35">
        <f>119408456</f>
        <v>119408456</v>
      </c>
      <c r="G15" s="36">
        <f>127736875</f>
        <v>127736875</v>
      </c>
      <c r="H15" s="37">
        <f>128334683</f>
        <v>128334683</v>
      </c>
      <c r="I15" s="37">
        <f>129633625</f>
        <v>129633625</v>
      </c>
      <c r="J15" s="37">
        <f>124814783</f>
        <v>124814783</v>
      </c>
      <c r="K15" s="37">
        <f>130225943</f>
        <v>130225943</v>
      </c>
      <c r="L15" s="37">
        <f>134747189</f>
        <v>134747189</v>
      </c>
      <c r="M15" s="37">
        <f>139976772</f>
        <v>139976772</v>
      </c>
      <c r="N15" s="37">
        <f>144554093</f>
        <v>144554093</v>
      </c>
      <c r="O15" s="37">
        <f>149320272</f>
        <v>149320272</v>
      </c>
      <c r="P15" s="37">
        <f>154418140</f>
        <v>154418140</v>
      </c>
      <c r="Q15" s="37">
        <f>158954266</f>
        <v>158954266</v>
      </c>
      <c r="R15" s="37">
        <f>163621940</f>
        <v>163621940</v>
      </c>
      <c r="S15" s="37">
        <f>169759354</f>
        <v>169759354</v>
      </c>
      <c r="T15" s="37">
        <f>174756357</f>
        <v>174756357</v>
      </c>
      <c r="U15" s="37">
        <f>179477479</f>
        <v>179477479</v>
      </c>
      <c r="V15" s="112"/>
    </row>
    <row r="16" spans="1:22" ht="17.25" customHeight="1">
      <c r="A16" s="38" t="s">
        <v>74</v>
      </c>
      <c r="B16" s="39" t="s">
        <v>75</v>
      </c>
      <c r="C16" s="40">
        <f>96876666.03</f>
        <v>96876666.030000001</v>
      </c>
      <c r="D16" s="41">
        <f>104012514.5</f>
        <v>104012514.5</v>
      </c>
      <c r="E16" s="41">
        <f>110239142</f>
        <v>110239142</v>
      </c>
      <c r="F16" s="42">
        <f>110174229</f>
        <v>110174229</v>
      </c>
      <c r="G16" s="43">
        <f>107037510</f>
        <v>107037510</v>
      </c>
      <c r="H16" s="44">
        <f>108777803</f>
        <v>108777803</v>
      </c>
      <c r="I16" s="44">
        <f>113338685</f>
        <v>113338685</v>
      </c>
      <c r="J16" s="44">
        <f>115853858</f>
        <v>115853858</v>
      </c>
      <c r="K16" s="44">
        <f>118440085</f>
        <v>118440085</v>
      </c>
      <c r="L16" s="44">
        <f>120441206</f>
        <v>120441206</v>
      </c>
      <c r="M16" s="44">
        <f>123218486</f>
        <v>123218486</v>
      </c>
      <c r="N16" s="44">
        <f>123568948</f>
        <v>123568948</v>
      </c>
      <c r="O16" s="44">
        <f>126544422</f>
        <v>126544422</v>
      </c>
      <c r="P16" s="44">
        <f>129596783</f>
        <v>129596783</v>
      </c>
      <c r="Q16" s="44">
        <f>132777953</f>
        <v>132777953</v>
      </c>
      <c r="R16" s="44">
        <f>135989902</f>
        <v>135989902</v>
      </c>
      <c r="S16" s="44">
        <f>139284650</f>
        <v>139284650</v>
      </c>
      <c r="T16" s="44">
        <f>142714266</f>
        <v>142714266</v>
      </c>
      <c r="U16" s="44">
        <f>146250873</f>
        <v>146250873</v>
      </c>
    </row>
    <row r="17" spans="1:22" ht="17.25" customHeight="1">
      <c r="A17" s="38" t="s">
        <v>76</v>
      </c>
      <c r="B17" s="39" t="s">
        <v>77</v>
      </c>
      <c r="C17" s="40">
        <f>0</f>
        <v>0</v>
      </c>
      <c r="D17" s="41">
        <f>0</f>
        <v>0</v>
      </c>
      <c r="E17" s="41">
        <f>250000</f>
        <v>250000</v>
      </c>
      <c r="F17" s="42">
        <f>250000</f>
        <v>250000</v>
      </c>
      <c r="G17" s="43">
        <f>488188</f>
        <v>488188</v>
      </c>
      <c r="H17" s="44">
        <f>482801</f>
        <v>482801</v>
      </c>
      <c r="I17" s="44">
        <f>2853098</f>
        <v>2853098</v>
      </c>
      <c r="J17" s="44">
        <f>2800000</f>
        <v>2800000</v>
      </c>
      <c r="K17" s="44">
        <f>2700000</f>
        <v>2700000</v>
      </c>
      <c r="L17" s="44">
        <f>2600000</f>
        <v>2600000</v>
      </c>
      <c r="M17" s="44">
        <f>2550000</f>
        <v>2550000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  <c r="U17" s="44">
        <f>0</f>
        <v>0</v>
      </c>
    </row>
    <row r="18" spans="1:22" ht="42" customHeight="1">
      <c r="A18" s="38" t="s">
        <v>78</v>
      </c>
      <c r="B18" s="39" t="s">
        <v>79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  <c r="U18" s="44">
        <f>0</f>
        <v>0</v>
      </c>
    </row>
    <row r="19" spans="1:22" ht="90" customHeight="1">
      <c r="A19" s="38" t="s">
        <v>80</v>
      </c>
      <c r="B19" s="39" t="s">
        <v>81</v>
      </c>
      <c r="C19" s="40">
        <f>1050926.47</f>
        <v>1050926.47</v>
      </c>
      <c r="D19" s="41">
        <f>2233504.87</f>
        <v>2233504.87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  <c r="U19" s="44">
        <f>0</f>
        <v>0</v>
      </c>
    </row>
    <row r="20" spans="1:22" ht="16.5" customHeight="1">
      <c r="A20" s="38" t="s">
        <v>82</v>
      </c>
      <c r="B20" s="39" t="s">
        <v>83</v>
      </c>
      <c r="C20" s="40">
        <f>1898918.19</f>
        <v>1898918.19</v>
      </c>
      <c r="D20" s="41">
        <f>1296684.51</f>
        <v>1296684.51</v>
      </c>
      <c r="E20" s="41">
        <f>1350000</f>
        <v>1350000</v>
      </c>
      <c r="F20" s="42">
        <f>1250000</f>
        <v>1250000</v>
      </c>
      <c r="G20" s="43">
        <f>1300000</f>
        <v>1300000</v>
      </c>
      <c r="H20" s="44">
        <f>1250000</f>
        <v>1250000</v>
      </c>
      <c r="I20" s="44">
        <f>1100000</f>
        <v>1100000</v>
      </c>
      <c r="J20" s="44">
        <f>950000</f>
        <v>950000</v>
      </c>
      <c r="K20" s="44">
        <f>850000</f>
        <v>850000</v>
      </c>
      <c r="L20" s="44">
        <f>750000</f>
        <v>750000</v>
      </c>
      <c r="M20" s="44">
        <f>650000</f>
        <v>650000</v>
      </c>
      <c r="N20" s="44">
        <f>550000</f>
        <v>550000</v>
      </c>
      <c r="O20" s="44">
        <f>450000</f>
        <v>450000</v>
      </c>
      <c r="P20" s="44">
        <f>350000</f>
        <v>350000</v>
      </c>
      <c r="Q20" s="44">
        <f>300000</f>
        <v>300000</v>
      </c>
      <c r="R20" s="44">
        <f>200000</f>
        <v>200000</v>
      </c>
      <c r="S20" s="44">
        <f>100000</f>
        <v>100000</v>
      </c>
      <c r="T20" s="44">
        <f>50000</f>
        <v>50000</v>
      </c>
      <c r="U20" s="44">
        <f>20000</f>
        <v>20000</v>
      </c>
    </row>
    <row r="21" spans="1:22" ht="28.5" customHeight="1">
      <c r="A21" s="38" t="s">
        <v>84</v>
      </c>
      <c r="B21" s="39" t="s">
        <v>85</v>
      </c>
      <c r="C21" s="40">
        <f>1898918.19</f>
        <v>1898918.19</v>
      </c>
      <c r="D21" s="41">
        <f>1296684.51</f>
        <v>1296684.51</v>
      </c>
      <c r="E21" s="41">
        <f>1350000</f>
        <v>1350000</v>
      </c>
      <c r="F21" s="42">
        <f>1250000</f>
        <v>1250000</v>
      </c>
      <c r="G21" s="43">
        <f>1300000</f>
        <v>1300000</v>
      </c>
      <c r="H21" s="44">
        <f>1250000</f>
        <v>1250000</v>
      </c>
      <c r="I21" s="44">
        <f>1100000</f>
        <v>1100000</v>
      </c>
      <c r="J21" s="44">
        <f>950000</f>
        <v>950000</v>
      </c>
      <c r="K21" s="44">
        <f>850000</f>
        <v>850000</v>
      </c>
      <c r="L21" s="44">
        <f>750000</f>
        <v>750000</v>
      </c>
      <c r="M21" s="44">
        <f>650000</f>
        <v>650000</v>
      </c>
      <c r="N21" s="44">
        <f>550000</f>
        <v>550000</v>
      </c>
      <c r="O21" s="44">
        <f>450000</f>
        <v>450000</v>
      </c>
      <c r="P21" s="44">
        <f>350000</f>
        <v>350000</v>
      </c>
      <c r="Q21" s="44">
        <f>300000</f>
        <v>300000</v>
      </c>
      <c r="R21" s="44">
        <f>200000</f>
        <v>200000</v>
      </c>
      <c r="S21" s="44">
        <f>100000</f>
        <v>100000</v>
      </c>
      <c r="T21" s="44">
        <f>50000</f>
        <v>50000</v>
      </c>
      <c r="U21" s="44">
        <f>20000</f>
        <v>20000</v>
      </c>
    </row>
    <row r="22" spans="1:22" ht="95.25" customHeight="1">
      <c r="A22" s="38" t="s">
        <v>86</v>
      </c>
      <c r="B22" s="39" t="s">
        <v>87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  <c r="U22" s="44">
        <f>0</f>
        <v>0</v>
      </c>
    </row>
    <row r="23" spans="1:22" ht="63.75" customHeight="1">
      <c r="A23" s="38" t="s">
        <v>88</v>
      </c>
      <c r="B23" s="39" t="s">
        <v>89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  <c r="U23" s="44">
        <f>0</f>
        <v>0</v>
      </c>
    </row>
    <row r="24" spans="1:22" ht="17.25" customHeight="1">
      <c r="A24" s="38" t="s">
        <v>90</v>
      </c>
      <c r="B24" s="39" t="s">
        <v>91</v>
      </c>
      <c r="C24" s="40">
        <f>7491497.06</f>
        <v>7491497.0599999996</v>
      </c>
      <c r="D24" s="41">
        <f>6902836.85</f>
        <v>6902836.8499999996</v>
      </c>
      <c r="E24" s="41">
        <f>13074779</f>
        <v>13074779</v>
      </c>
      <c r="F24" s="42">
        <f>9234227</f>
        <v>9234227</v>
      </c>
      <c r="G24" s="43">
        <f>20699365</f>
        <v>20699365</v>
      </c>
      <c r="H24" s="44">
        <f>19556880</f>
        <v>19556880</v>
      </c>
      <c r="I24" s="44">
        <f>16294940</f>
        <v>16294940</v>
      </c>
      <c r="J24" s="44">
        <f>8960925</f>
        <v>8960925</v>
      </c>
      <c r="K24" s="44">
        <f>11785858</f>
        <v>11785858</v>
      </c>
      <c r="L24" s="44">
        <f>14305983</f>
        <v>14305983</v>
      </c>
      <c r="M24" s="44">
        <f>16758286</f>
        <v>16758286</v>
      </c>
      <c r="N24" s="44">
        <f>20985145</f>
        <v>20985145</v>
      </c>
      <c r="O24" s="44">
        <f>22775850</f>
        <v>22775850</v>
      </c>
      <c r="P24" s="44">
        <f>24821357</f>
        <v>24821357</v>
      </c>
      <c r="Q24" s="44">
        <f>26176313</f>
        <v>26176313</v>
      </c>
      <c r="R24" s="44">
        <f>27632038</f>
        <v>27632038</v>
      </c>
      <c r="S24" s="44">
        <f>30474704</f>
        <v>30474704</v>
      </c>
      <c r="T24" s="44">
        <f>32042091</f>
        <v>32042091</v>
      </c>
      <c r="U24" s="44">
        <f>33226606</f>
        <v>33226606</v>
      </c>
    </row>
    <row r="25" spans="1:22" ht="17.25" customHeight="1">
      <c r="A25" s="31">
        <v>3</v>
      </c>
      <c r="B25" s="32" t="s">
        <v>92</v>
      </c>
      <c r="C25" s="33">
        <f>4705371.69</f>
        <v>4705371.6900000004</v>
      </c>
      <c r="D25" s="34">
        <f>2497259.53</f>
        <v>2497259.5299999998</v>
      </c>
      <c r="E25" s="34">
        <f>-357759</f>
        <v>-357759</v>
      </c>
      <c r="F25" s="35">
        <f>-357759</f>
        <v>-357759</v>
      </c>
      <c r="G25" s="36">
        <f>-380880</f>
        <v>-380880</v>
      </c>
      <c r="H25" s="37">
        <f>6550929</f>
        <v>6550929</v>
      </c>
      <c r="I25" s="37">
        <f>5548276</f>
        <v>5548276</v>
      </c>
      <c r="J25" s="37">
        <f>4814612</f>
        <v>4814612</v>
      </c>
      <c r="K25" s="37">
        <f>3742000</f>
        <v>3742000</v>
      </c>
      <c r="L25" s="37">
        <f>3842000</f>
        <v>3842000</v>
      </c>
      <c r="M25" s="37">
        <f>3092000</f>
        <v>3092000</v>
      </c>
      <c r="N25" s="37">
        <f>3092000</f>
        <v>3092000</v>
      </c>
      <c r="O25" s="37">
        <f>3092000</f>
        <v>3092000</v>
      </c>
      <c r="P25" s="37">
        <f>2300000</f>
        <v>2300000</v>
      </c>
      <c r="Q25" s="37">
        <f>2300000</f>
        <v>2300000</v>
      </c>
      <c r="R25" s="37">
        <f>2300000</f>
        <v>2300000</v>
      </c>
      <c r="S25" s="37">
        <f>800000</f>
        <v>800000</v>
      </c>
      <c r="T25" s="37">
        <f>400000</f>
        <v>400000</v>
      </c>
      <c r="U25" s="37">
        <f>400000</f>
        <v>400000</v>
      </c>
      <c r="V25" s="112"/>
    </row>
    <row r="26" spans="1:22" ht="17.25" customHeight="1">
      <c r="A26" s="31">
        <v>4</v>
      </c>
      <c r="B26" s="32" t="s">
        <v>93</v>
      </c>
      <c r="C26" s="33">
        <f>5622331.57</f>
        <v>5622331.5700000003</v>
      </c>
      <c r="D26" s="34">
        <f>8236671.26</f>
        <v>8236671.2599999998</v>
      </c>
      <c r="E26" s="34">
        <f>7587082</f>
        <v>7587082</v>
      </c>
      <c r="F26" s="35">
        <f>7587082</f>
        <v>7587082</v>
      </c>
      <c r="G26" s="36">
        <f>7558156</f>
        <v>7558156</v>
      </c>
      <c r="H26" s="37">
        <f>0</f>
        <v>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37">
        <f>0</f>
        <v>0</v>
      </c>
      <c r="V26" s="112"/>
    </row>
    <row r="27" spans="1:22" ht="17.25" customHeight="1">
      <c r="A27" s="38" t="s">
        <v>94</v>
      </c>
      <c r="B27" s="39" t="s">
        <v>95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  <c r="U27" s="44">
        <f>0</f>
        <v>0</v>
      </c>
    </row>
    <row r="28" spans="1:22" ht="17.25" customHeight="1">
      <c r="A28" s="38" t="s">
        <v>96</v>
      </c>
      <c r="B28" s="39" t="s">
        <v>97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  <c r="U28" s="44">
        <f>0</f>
        <v>0</v>
      </c>
    </row>
    <row r="29" spans="1:22" ht="30" customHeight="1">
      <c r="A29" s="38" t="s">
        <v>98</v>
      </c>
      <c r="B29" s="39" t="s">
        <v>99</v>
      </c>
      <c r="C29" s="40">
        <f>5602899.41</f>
        <v>5602899.4100000001</v>
      </c>
      <c r="D29" s="41">
        <f>3276671.26</f>
        <v>3276671.26</v>
      </c>
      <c r="E29" s="41">
        <f>3387082</f>
        <v>3387082</v>
      </c>
      <c r="F29" s="42">
        <f>3387082</f>
        <v>3387082</v>
      </c>
      <c r="G29" s="43">
        <f>2858156</f>
        <v>2858156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  <c r="U29" s="44">
        <f>0</f>
        <v>0</v>
      </c>
    </row>
    <row r="30" spans="1:22" ht="16.5" customHeight="1">
      <c r="A30" s="38" t="s">
        <v>100</v>
      </c>
      <c r="B30" s="39" t="s">
        <v>97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  <c r="U30" s="44">
        <f>0</f>
        <v>0</v>
      </c>
    </row>
    <row r="31" spans="1:22" ht="28.5" customHeight="1">
      <c r="A31" s="38" t="s">
        <v>101</v>
      </c>
      <c r="B31" s="39" t="s">
        <v>102</v>
      </c>
      <c r="C31" s="40">
        <f>0</f>
        <v>0</v>
      </c>
      <c r="D31" s="41">
        <f>4960000</f>
        <v>4960000</v>
      </c>
      <c r="E31" s="41">
        <f>4200000</f>
        <v>4200000</v>
      </c>
      <c r="F31" s="42">
        <f>4200000</f>
        <v>4200000</v>
      </c>
      <c r="G31" s="43">
        <f>4200000</f>
        <v>4200000</v>
      </c>
      <c r="H31" s="44">
        <f>0</f>
        <v>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  <c r="U31" s="44">
        <f>0</f>
        <v>0</v>
      </c>
    </row>
    <row r="32" spans="1:22" ht="17.25" customHeight="1">
      <c r="A32" s="38" t="s">
        <v>103</v>
      </c>
      <c r="B32" s="39" t="s">
        <v>97</v>
      </c>
      <c r="C32" s="40">
        <f>0</f>
        <v>0</v>
      </c>
      <c r="D32" s="41">
        <f>0</f>
        <v>0</v>
      </c>
      <c r="E32" s="41">
        <f>357759</f>
        <v>357759</v>
      </c>
      <c r="F32" s="42">
        <f>357759</f>
        <v>357759</v>
      </c>
      <c r="G32" s="43">
        <f>380880</f>
        <v>380880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  <c r="U32" s="44">
        <f>0</f>
        <v>0</v>
      </c>
    </row>
    <row r="33" spans="1:22" ht="31.5" customHeight="1">
      <c r="A33" s="38" t="s">
        <v>104</v>
      </c>
      <c r="B33" s="39" t="s">
        <v>105</v>
      </c>
      <c r="C33" s="40">
        <f>19432.16</f>
        <v>19432.16</v>
      </c>
      <c r="D33" s="41">
        <f>0</f>
        <v>0</v>
      </c>
      <c r="E33" s="41">
        <f>0</f>
        <v>0</v>
      </c>
      <c r="F33" s="42">
        <f>0</f>
        <v>0</v>
      </c>
      <c r="G33" s="43">
        <f>500000</f>
        <v>500000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  <c r="U33" s="44">
        <f>0</f>
        <v>0</v>
      </c>
    </row>
    <row r="34" spans="1:22" ht="17.25" customHeight="1">
      <c r="A34" s="38" t="s">
        <v>106</v>
      </c>
      <c r="B34" s="39" t="s">
        <v>97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  <c r="U34" s="44">
        <f>0</f>
        <v>0</v>
      </c>
    </row>
    <row r="35" spans="1:22" ht="17.25" customHeight="1">
      <c r="A35" s="31">
        <v>5</v>
      </c>
      <c r="B35" s="32" t="s">
        <v>107</v>
      </c>
      <c r="C35" s="33">
        <f>7051032</f>
        <v>7051032</v>
      </c>
      <c r="D35" s="34">
        <f>7257180.85</f>
        <v>7257180.8499999996</v>
      </c>
      <c r="E35" s="34">
        <f>7229323</f>
        <v>7229323</v>
      </c>
      <c r="F35" s="35">
        <f>7229323</f>
        <v>7229323</v>
      </c>
      <c r="G35" s="36">
        <f>7177276</f>
        <v>7177276</v>
      </c>
      <c r="H35" s="37">
        <f>6550929</f>
        <v>6550929</v>
      </c>
      <c r="I35" s="37">
        <f>5548276</f>
        <v>5548276</v>
      </c>
      <c r="J35" s="37">
        <f>4814612</f>
        <v>4814612</v>
      </c>
      <c r="K35" s="37">
        <f>3742000</f>
        <v>3742000</v>
      </c>
      <c r="L35" s="37">
        <f>3842000</f>
        <v>3842000</v>
      </c>
      <c r="M35" s="37">
        <f t="shared" ref="M35:O36" si="3">3092000</f>
        <v>3092000</v>
      </c>
      <c r="N35" s="37">
        <f t="shared" si="3"/>
        <v>3092000</v>
      </c>
      <c r="O35" s="37">
        <f t="shared" si="3"/>
        <v>3092000</v>
      </c>
      <c r="P35" s="37">
        <f t="shared" ref="P35:R36" si="4">2300000</f>
        <v>2300000</v>
      </c>
      <c r="Q35" s="37">
        <f t="shared" si="4"/>
        <v>2300000</v>
      </c>
      <c r="R35" s="37">
        <f t="shared" si="4"/>
        <v>2300000</v>
      </c>
      <c r="S35" s="37">
        <f>800000</f>
        <v>800000</v>
      </c>
      <c r="T35" s="37">
        <f>400000</f>
        <v>400000</v>
      </c>
      <c r="U35" s="37">
        <f>400000</f>
        <v>400000</v>
      </c>
      <c r="V35" s="112"/>
    </row>
    <row r="36" spans="1:22" ht="42" customHeight="1">
      <c r="A36" s="38" t="s">
        <v>108</v>
      </c>
      <c r="B36" s="39" t="s">
        <v>109</v>
      </c>
      <c r="C36" s="40">
        <f>7051032</f>
        <v>7051032</v>
      </c>
      <c r="D36" s="41">
        <f>7257180.85</f>
        <v>7257180.8499999996</v>
      </c>
      <c r="E36" s="41">
        <f>7229323</f>
        <v>7229323</v>
      </c>
      <c r="F36" s="42">
        <f>7229323</f>
        <v>7229323</v>
      </c>
      <c r="G36" s="43">
        <f>6677276</f>
        <v>6677276</v>
      </c>
      <c r="H36" s="44">
        <f>6550929</f>
        <v>6550929</v>
      </c>
      <c r="I36" s="44">
        <f>5548276</f>
        <v>5548276</v>
      </c>
      <c r="J36" s="44">
        <f>4814612</f>
        <v>4814612</v>
      </c>
      <c r="K36" s="44">
        <f>3742000</f>
        <v>3742000</v>
      </c>
      <c r="L36" s="44">
        <f>3842000</f>
        <v>3842000</v>
      </c>
      <c r="M36" s="44">
        <f t="shared" si="3"/>
        <v>3092000</v>
      </c>
      <c r="N36" s="44">
        <f t="shared" si="3"/>
        <v>3092000</v>
      </c>
      <c r="O36" s="44">
        <f t="shared" si="3"/>
        <v>3092000</v>
      </c>
      <c r="P36" s="44">
        <f t="shared" si="4"/>
        <v>2300000</v>
      </c>
      <c r="Q36" s="44">
        <f t="shared" si="4"/>
        <v>2300000</v>
      </c>
      <c r="R36" s="44">
        <f t="shared" si="4"/>
        <v>2300000</v>
      </c>
      <c r="S36" s="44">
        <f>800000</f>
        <v>800000</v>
      </c>
      <c r="T36" s="44">
        <f>400000</f>
        <v>400000</v>
      </c>
      <c r="U36" s="44">
        <f>400000</f>
        <v>400000</v>
      </c>
    </row>
    <row r="37" spans="1:22" ht="54" customHeight="1">
      <c r="A37" s="38" t="s">
        <v>110</v>
      </c>
      <c r="B37" s="39" t="s">
        <v>111</v>
      </c>
      <c r="C37" s="40">
        <f t="shared" ref="C37:H37" si="5">2000000</f>
        <v>2000000</v>
      </c>
      <c r="D37" s="41">
        <f t="shared" si="5"/>
        <v>2000000</v>
      </c>
      <c r="E37" s="41">
        <f t="shared" si="5"/>
        <v>2000000</v>
      </c>
      <c r="F37" s="42">
        <f t="shared" si="5"/>
        <v>2000000</v>
      </c>
      <c r="G37" s="43">
        <f t="shared" si="5"/>
        <v>2000000</v>
      </c>
      <c r="H37" s="44">
        <f t="shared" si="5"/>
        <v>2000000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  <c r="U37" s="44">
        <f>0</f>
        <v>0</v>
      </c>
    </row>
    <row r="38" spans="1:22" ht="42" customHeight="1">
      <c r="A38" s="38" t="s">
        <v>112</v>
      </c>
      <c r="B38" s="39" t="s">
        <v>113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  <c r="U38" s="44">
        <f>0</f>
        <v>0</v>
      </c>
    </row>
    <row r="39" spans="1:22" ht="42" customHeight="1">
      <c r="A39" s="38" t="s">
        <v>114</v>
      </c>
      <c r="B39" s="39" t="s">
        <v>115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  <c r="U39" s="44">
        <f>0</f>
        <v>0</v>
      </c>
    </row>
    <row r="40" spans="1:22" ht="42" customHeight="1">
      <c r="A40" s="38" t="s">
        <v>116</v>
      </c>
      <c r="B40" s="39" t="s">
        <v>117</v>
      </c>
      <c r="C40" s="40">
        <f t="shared" ref="C40:H40" si="6">2000000</f>
        <v>2000000</v>
      </c>
      <c r="D40" s="41">
        <f t="shared" si="6"/>
        <v>2000000</v>
      </c>
      <c r="E40" s="41">
        <f t="shared" si="6"/>
        <v>2000000</v>
      </c>
      <c r="F40" s="42">
        <f t="shared" si="6"/>
        <v>2000000</v>
      </c>
      <c r="G40" s="43">
        <f t="shared" si="6"/>
        <v>2000000</v>
      </c>
      <c r="H40" s="44">
        <f t="shared" si="6"/>
        <v>2000000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  <c r="U40" s="44">
        <f>0</f>
        <v>0</v>
      </c>
    </row>
    <row r="41" spans="1:22" ht="17.25" customHeight="1">
      <c r="A41" s="38" t="s">
        <v>118</v>
      </c>
      <c r="B41" s="39" t="s">
        <v>119</v>
      </c>
      <c r="C41" s="40">
        <f>0</f>
        <v>0</v>
      </c>
      <c r="D41" s="41">
        <f>0</f>
        <v>0</v>
      </c>
      <c r="E41" s="41">
        <f>0</f>
        <v>0</v>
      </c>
      <c r="F41" s="42">
        <f>0</f>
        <v>0</v>
      </c>
      <c r="G41" s="43">
        <f>500000</f>
        <v>500000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  <c r="U41" s="44">
        <f>0</f>
        <v>0</v>
      </c>
    </row>
    <row r="42" spans="1:22" ht="17.25" customHeight="1">
      <c r="A42" s="31">
        <v>6</v>
      </c>
      <c r="B42" s="32" t="s">
        <v>120</v>
      </c>
      <c r="C42" s="33">
        <f>56311356.09</f>
        <v>56311356.090000004</v>
      </c>
      <c r="D42" s="34">
        <f>51708987.45</f>
        <v>51708987.450000003</v>
      </c>
      <c r="E42" s="34">
        <f>48024903</f>
        <v>48024903</v>
      </c>
      <c r="F42" s="35">
        <f>48024903</f>
        <v>48024903</v>
      </c>
      <c r="G42" s="36">
        <f>44892865</f>
        <v>44892865</v>
      </c>
      <c r="H42" s="37">
        <f>37687174</f>
        <v>37687174</v>
      </c>
      <c r="I42" s="37">
        <f>31484136</f>
        <v>31484136</v>
      </c>
      <c r="J42" s="37">
        <f>26014762</f>
        <v>26014762</v>
      </c>
      <c r="K42" s="37">
        <f>21618000</f>
        <v>21618000</v>
      </c>
      <c r="L42" s="37">
        <f>17776000</f>
        <v>17776000</v>
      </c>
      <c r="M42" s="37">
        <f>14684000</f>
        <v>14684000</v>
      </c>
      <c r="N42" s="37">
        <f>11592000</f>
        <v>11592000</v>
      </c>
      <c r="O42" s="37">
        <f>8500000</f>
        <v>8500000</v>
      </c>
      <c r="P42" s="37">
        <f>6200000</f>
        <v>6200000</v>
      </c>
      <c r="Q42" s="37">
        <f>3900000</f>
        <v>3900000</v>
      </c>
      <c r="R42" s="37">
        <f>1600000</f>
        <v>1600000</v>
      </c>
      <c r="S42" s="37">
        <f>800000</f>
        <v>800000</v>
      </c>
      <c r="T42" s="37">
        <f>400000</f>
        <v>400000</v>
      </c>
      <c r="U42" s="37">
        <f>0</f>
        <v>0</v>
      </c>
      <c r="V42" s="112"/>
    </row>
    <row r="43" spans="1:22" ht="81.75" customHeight="1">
      <c r="A43" s="31">
        <v>7</v>
      </c>
      <c r="B43" s="32" t="s">
        <v>121</v>
      </c>
      <c r="C43" s="33">
        <f>6162076.32</f>
        <v>6162076.3200000003</v>
      </c>
      <c r="D43" s="34">
        <f>3928571.45</f>
        <v>3928571.45</v>
      </c>
      <c r="E43" s="34">
        <f>3273810</f>
        <v>3273810</v>
      </c>
      <c r="F43" s="35">
        <f>3273810</f>
        <v>3273810</v>
      </c>
      <c r="G43" s="36">
        <f>2619048</f>
        <v>2619048</v>
      </c>
      <c r="H43" s="37">
        <f>1964286</f>
        <v>1964286</v>
      </c>
      <c r="I43" s="37">
        <f>1309524</f>
        <v>1309524</v>
      </c>
      <c r="J43" s="37">
        <f>654762</f>
        <v>654762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37">
        <f>0</f>
        <v>0</v>
      </c>
      <c r="V43" s="112"/>
    </row>
    <row r="44" spans="1:22" ht="43.5" customHeight="1">
      <c r="A44" s="31">
        <v>8</v>
      </c>
      <c r="B44" s="32" t="s">
        <v>122</v>
      </c>
      <c r="C44" s="45" t="s">
        <v>123</v>
      </c>
      <c r="D44" s="46" t="s">
        <v>123</v>
      </c>
      <c r="E44" s="46" t="s">
        <v>123</v>
      </c>
      <c r="F44" s="47" t="s">
        <v>123</v>
      </c>
      <c r="G44" s="48" t="s">
        <v>123</v>
      </c>
      <c r="H44" s="49" t="s">
        <v>123</v>
      </c>
      <c r="I44" s="49" t="s">
        <v>123</v>
      </c>
      <c r="J44" s="49" t="s">
        <v>123</v>
      </c>
      <c r="K44" s="49" t="s">
        <v>123</v>
      </c>
      <c r="L44" s="49" t="s">
        <v>123</v>
      </c>
      <c r="M44" s="49" t="s">
        <v>123</v>
      </c>
      <c r="N44" s="49" t="s">
        <v>123</v>
      </c>
      <c r="O44" s="49" t="s">
        <v>123</v>
      </c>
      <c r="P44" s="49" t="s">
        <v>123</v>
      </c>
      <c r="Q44" s="49" t="s">
        <v>123</v>
      </c>
      <c r="R44" s="49" t="s">
        <v>123</v>
      </c>
      <c r="S44" s="49" t="s">
        <v>123</v>
      </c>
      <c r="T44" s="49" t="s">
        <v>123</v>
      </c>
      <c r="U44" s="49" t="s">
        <v>123</v>
      </c>
      <c r="V44" s="112"/>
    </row>
    <row r="45" spans="1:22" ht="30.75" customHeight="1">
      <c r="A45" s="38" t="s">
        <v>124</v>
      </c>
      <c r="B45" s="39" t="s">
        <v>125</v>
      </c>
      <c r="C45" s="40">
        <f>10223537.61</f>
        <v>10223537.609999999</v>
      </c>
      <c r="D45" s="41">
        <f>6689493.43</f>
        <v>6689493.4299999997</v>
      </c>
      <c r="E45" s="41">
        <f>1391280</f>
        <v>1391280</v>
      </c>
      <c r="F45" s="42">
        <f>1753546</f>
        <v>1753546</v>
      </c>
      <c r="G45" s="43">
        <f>7822166</f>
        <v>7822166</v>
      </c>
      <c r="H45" s="44">
        <f>10357809</f>
        <v>10357809</v>
      </c>
      <c r="I45" s="44">
        <f>10443216</f>
        <v>10443216</v>
      </c>
      <c r="J45" s="44">
        <f>12755537</f>
        <v>12755537</v>
      </c>
      <c r="K45" s="44">
        <f>14927858</f>
        <v>14927858</v>
      </c>
      <c r="L45" s="44">
        <f>17727983</f>
        <v>17727983</v>
      </c>
      <c r="M45" s="44">
        <f>19510286</f>
        <v>19510286</v>
      </c>
      <c r="N45" s="44">
        <f>23727145</f>
        <v>23727145</v>
      </c>
      <c r="O45" s="44">
        <f>25317850</f>
        <v>25317850</v>
      </c>
      <c r="P45" s="44">
        <f>26821357</f>
        <v>26821357</v>
      </c>
      <c r="Q45" s="44">
        <f>28176313</f>
        <v>28176313</v>
      </c>
      <c r="R45" s="44">
        <f>29632038</f>
        <v>29632038</v>
      </c>
      <c r="S45" s="44">
        <f>30974704</f>
        <v>30974704</v>
      </c>
      <c r="T45" s="44">
        <f>32142091</f>
        <v>32142091</v>
      </c>
      <c r="U45" s="44">
        <f>33326606</f>
        <v>33326606</v>
      </c>
    </row>
    <row r="46" spans="1:22" ht="42.75" customHeight="1">
      <c r="A46" s="38" t="s">
        <v>126</v>
      </c>
      <c r="B46" s="39" t="s">
        <v>127</v>
      </c>
      <c r="C46" s="40">
        <f>16877363.49</f>
        <v>16877363.489999998</v>
      </c>
      <c r="D46" s="41">
        <f>12199669.56</f>
        <v>12199669.560000001</v>
      </c>
      <c r="E46" s="41">
        <f>4778362</f>
        <v>4778362</v>
      </c>
      <c r="F46" s="42">
        <f>5140628</f>
        <v>5140628</v>
      </c>
      <c r="G46" s="43">
        <f>10680322</f>
        <v>10680322</v>
      </c>
      <c r="H46" s="44">
        <f>10357809</f>
        <v>10357809</v>
      </c>
      <c r="I46" s="44">
        <f>10443216</f>
        <v>10443216</v>
      </c>
      <c r="J46" s="44">
        <f>12755537</f>
        <v>12755537</v>
      </c>
      <c r="K46" s="44">
        <f>14927858</f>
        <v>14927858</v>
      </c>
      <c r="L46" s="44">
        <f>17727983</f>
        <v>17727983</v>
      </c>
      <c r="M46" s="44">
        <f>19510286</f>
        <v>19510286</v>
      </c>
      <c r="N46" s="44">
        <f>23727145</f>
        <v>23727145</v>
      </c>
      <c r="O46" s="44">
        <f>25317850</f>
        <v>25317850</v>
      </c>
      <c r="P46" s="44">
        <f>26821357</f>
        <v>26821357</v>
      </c>
      <c r="Q46" s="44">
        <f>28176313</f>
        <v>28176313</v>
      </c>
      <c r="R46" s="44">
        <f>29632038</f>
        <v>29632038</v>
      </c>
      <c r="S46" s="44">
        <f>30974704</f>
        <v>30974704</v>
      </c>
      <c r="T46" s="44">
        <f>32142091</f>
        <v>32142091</v>
      </c>
      <c r="U46" s="44">
        <f>33326606</f>
        <v>33326606</v>
      </c>
    </row>
    <row r="47" spans="1:22" ht="17.25" customHeight="1">
      <c r="A47" s="31">
        <v>9</v>
      </c>
      <c r="B47" s="32" t="s">
        <v>128</v>
      </c>
      <c r="C47" s="45" t="s">
        <v>123</v>
      </c>
      <c r="D47" s="46" t="s">
        <v>123</v>
      </c>
      <c r="E47" s="46" t="s">
        <v>123</v>
      </c>
      <c r="F47" s="47" t="s">
        <v>123</v>
      </c>
      <c r="G47" s="48" t="s">
        <v>123</v>
      </c>
      <c r="H47" s="49" t="s">
        <v>123</v>
      </c>
      <c r="I47" s="49" t="s">
        <v>123</v>
      </c>
      <c r="J47" s="49" t="s">
        <v>123</v>
      </c>
      <c r="K47" s="49" t="s">
        <v>123</v>
      </c>
      <c r="L47" s="49" t="s">
        <v>123</v>
      </c>
      <c r="M47" s="49" t="s">
        <v>123</v>
      </c>
      <c r="N47" s="49" t="s">
        <v>123</v>
      </c>
      <c r="O47" s="49" t="s">
        <v>123</v>
      </c>
      <c r="P47" s="49" t="s">
        <v>123</v>
      </c>
      <c r="Q47" s="49" t="s">
        <v>123</v>
      </c>
      <c r="R47" s="49" t="s">
        <v>123</v>
      </c>
      <c r="S47" s="49" t="s">
        <v>123</v>
      </c>
      <c r="T47" s="49" t="s">
        <v>123</v>
      </c>
      <c r="U47" s="49" t="s">
        <v>123</v>
      </c>
      <c r="V47" s="112"/>
    </row>
    <row r="48" spans="1:22" ht="93.75" customHeight="1">
      <c r="A48" s="38" t="s">
        <v>129</v>
      </c>
      <c r="B48" s="39" t="s">
        <v>130</v>
      </c>
      <c r="C48" s="50">
        <f>0.0821</f>
        <v>8.2100000000000006E-2</v>
      </c>
      <c r="D48" s="51">
        <f>0.0754</f>
        <v>7.5399999999999995E-2</v>
      </c>
      <c r="E48" s="51">
        <f>0.0718</f>
        <v>7.1800000000000003E-2</v>
      </c>
      <c r="F48" s="52">
        <f>0.0733</f>
        <v>7.3300000000000004E-2</v>
      </c>
      <c r="G48" s="53">
        <f>0.0665</f>
        <v>6.6500000000000004E-2</v>
      </c>
      <c r="H48" s="54">
        <f>0.0614</f>
        <v>6.1400000000000003E-2</v>
      </c>
      <c r="I48" s="54">
        <f>0.0703</f>
        <v>7.0300000000000001E-2</v>
      </c>
      <c r="J48" s="54">
        <f>0.0661</f>
        <v>6.6100000000000006E-2</v>
      </c>
      <c r="K48" s="54">
        <f>0.0544</f>
        <v>5.4399999999999997E-2</v>
      </c>
      <c r="L48" s="54">
        <f>0.0519</f>
        <v>5.1900000000000002E-2</v>
      </c>
      <c r="M48" s="54">
        <f>0.044</f>
        <v>4.3999999999999997E-2</v>
      </c>
      <c r="N48" s="54">
        <f>0.0247</f>
        <v>2.47E-2</v>
      </c>
      <c r="O48" s="54">
        <f>0.0232</f>
        <v>2.3199999999999998E-2</v>
      </c>
      <c r="P48" s="54">
        <f>0.0169</f>
        <v>1.6899999999999998E-2</v>
      </c>
      <c r="Q48" s="54">
        <f>0.0161</f>
        <v>1.61E-2</v>
      </c>
      <c r="R48" s="54">
        <f>0.0151</f>
        <v>1.5100000000000001E-2</v>
      </c>
      <c r="S48" s="54">
        <f>0.0053</f>
        <v>5.3E-3</v>
      </c>
      <c r="T48" s="54">
        <f>0.0026</f>
        <v>2.5999999999999999E-3</v>
      </c>
      <c r="U48" s="54">
        <f>0.0023</f>
        <v>2.3E-3</v>
      </c>
    </row>
    <row r="49" spans="1:22" ht="96" customHeight="1">
      <c r="A49" s="38" t="s">
        <v>131</v>
      </c>
      <c r="B49" s="39" t="s">
        <v>132</v>
      </c>
      <c r="C49" s="50">
        <f>0.0637</f>
        <v>6.3700000000000007E-2</v>
      </c>
      <c r="D49" s="51">
        <f>0.0578</f>
        <v>5.7799999999999997E-2</v>
      </c>
      <c r="E49" s="51">
        <f>0.0555</f>
        <v>5.5500000000000001E-2</v>
      </c>
      <c r="F49" s="52">
        <f>0.0565</f>
        <v>5.6500000000000002E-2</v>
      </c>
      <c r="G49" s="53">
        <f>0.0508</f>
        <v>5.0799999999999998E-2</v>
      </c>
      <c r="H49" s="54">
        <f>0.0466</f>
        <v>4.6600000000000003E-2</v>
      </c>
      <c r="I49" s="54">
        <f>0.0703</f>
        <v>7.0300000000000001E-2</v>
      </c>
      <c r="J49" s="54">
        <f>0.0661</f>
        <v>6.6100000000000006E-2</v>
      </c>
      <c r="K49" s="54">
        <f>0.0544</f>
        <v>5.4399999999999997E-2</v>
      </c>
      <c r="L49" s="54">
        <f>0.0519</f>
        <v>5.1900000000000002E-2</v>
      </c>
      <c r="M49" s="54">
        <f>0.044</f>
        <v>4.3999999999999997E-2</v>
      </c>
      <c r="N49" s="54">
        <f>0.0247</f>
        <v>2.47E-2</v>
      </c>
      <c r="O49" s="54">
        <f>0.0232</f>
        <v>2.3199999999999998E-2</v>
      </c>
      <c r="P49" s="54">
        <f>0.0169</f>
        <v>1.6899999999999998E-2</v>
      </c>
      <c r="Q49" s="54">
        <f>0.0161</f>
        <v>1.61E-2</v>
      </c>
      <c r="R49" s="54">
        <f>0.0151</f>
        <v>1.5100000000000001E-2</v>
      </c>
      <c r="S49" s="54">
        <f>0.0053</f>
        <v>5.3E-3</v>
      </c>
      <c r="T49" s="54">
        <f>0.0026</f>
        <v>2.5999999999999999E-3</v>
      </c>
      <c r="U49" s="54">
        <f>0.0023</f>
        <v>2.3E-3</v>
      </c>
    </row>
    <row r="50" spans="1:22" ht="79.5" customHeight="1">
      <c r="A50" s="38" t="s">
        <v>133</v>
      </c>
      <c r="B50" s="39" t="s">
        <v>134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  <c r="U50" s="44">
        <f>0</f>
        <v>0</v>
      </c>
    </row>
    <row r="51" spans="1:22" ht="92.25" customHeight="1">
      <c r="A51" s="38" t="s">
        <v>135</v>
      </c>
      <c r="B51" s="39" t="s">
        <v>136</v>
      </c>
      <c r="C51" s="50">
        <f>0.0637</f>
        <v>6.3700000000000007E-2</v>
      </c>
      <c r="D51" s="51">
        <f>0.0578</f>
        <v>5.7799999999999997E-2</v>
      </c>
      <c r="E51" s="51">
        <f>0.0555</f>
        <v>5.5500000000000001E-2</v>
      </c>
      <c r="F51" s="52">
        <f>0.0565</f>
        <v>5.6500000000000002E-2</v>
      </c>
      <c r="G51" s="53">
        <f>0.0508</f>
        <v>5.0799999999999998E-2</v>
      </c>
      <c r="H51" s="54">
        <f>0.0466</f>
        <v>4.6600000000000003E-2</v>
      </c>
      <c r="I51" s="54">
        <f>0.0703</f>
        <v>7.0300000000000001E-2</v>
      </c>
      <c r="J51" s="54">
        <f>0.0661</f>
        <v>6.6100000000000006E-2</v>
      </c>
      <c r="K51" s="54">
        <f>0.0544</f>
        <v>5.4399999999999997E-2</v>
      </c>
      <c r="L51" s="54">
        <f>0.0519</f>
        <v>5.1900000000000002E-2</v>
      </c>
      <c r="M51" s="54">
        <f>0.044</f>
        <v>4.3999999999999997E-2</v>
      </c>
      <c r="N51" s="54">
        <f>0.0247</f>
        <v>2.47E-2</v>
      </c>
      <c r="O51" s="54">
        <f>0.0232</f>
        <v>2.3199999999999998E-2</v>
      </c>
      <c r="P51" s="54">
        <f>0.0169</f>
        <v>1.6899999999999998E-2</v>
      </c>
      <c r="Q51" s="54">
        <f>0.0161</f>
        <v>1.61E-2</v>
      </c>
      <c r="R51" s="54">
        <f>0.0151</f>
        <v>1.5100000000000001E-2</v>
      </c>
      <c r="S51" s="54">
        <f>0.0053</f>
        <v>5.3E-3</v>
      </c>
      <c r="T51" s="54">
        <f>0.0026</f>
        <v>2.5999999999999999E-3</v>
      </c>
      <c r="U51" s="54">
        <f>0.0023</f>
        <v>2.3E-3</v>
      </c>
    </row>
    <row r="52" spans="1:22" ht="69" customHeight="1">
      <c r="A52" s="38" t="s">
        <v>137</v>
      </c>
      <c r="B52" s="55" t="s">
        <v>138</v>
      </c>
      <c r="C52" s="50">
        <f>0.1058</f>
        <v>0.10580000000000001</v>
      </c>
      <c r="D52" s="51">
        <f>0.0824</f>
        <v>8.2400000000000001E-2</v>
      </c>
      <c r="E52" s="51">
        <f>0.0724</f>
        <v>7.2400000000000006E-2</v>
      </c>
      <c r="F52" s="52">
        <f>0.059</f>
        <v>5.8999999999999997E-2</v>
      </c>
      <c r="G52" s="53">
        <f>0.1086</f>
        <v>0.1086</v>
      </c>
      <c r="H52" s="54">
        <f>0.1139</f>
        <v>0.1139</v>
      </c>
      <c r="I52" s="54">
        <f>0.0895</f>
        <v>8.9499999999999996E-2</v>
      </c>
      <c r="J52" s="54">
        <f>0.1005</f>
        <v>0.10050000000000001</v>
      </c>
      <c r="K52" s="54">
        <f>0.1137</f>
        <v>0.1137</v>
      </c>
      <c r="L52" s="54">
        <f>0.1288</f>
        <v>0.1288</v>
      </c>
      <c r="M52" s="54">
        <f>0.1366</f>
        <v>0.1366</v>
      </c>
      <c r="N52" s="54">
        <f>0.161</f>
        <v>0.161</v>
      </c>
      <c r="O52" s="54">
        <f>0.1678</f>
        <v>0.1678</v>
      </c>
      <c r="P52" s="54">
        <f>0.1711</f>
        <v>0.1711</v>
      </c>
      <c r="Q52" s="54">
        <f>0.1747</f>
        <v>0.17469999999999999</v>
      </c>
      <c r="R52" s="54">
        <f>0.1786</f>
        <v>0.17860000000000001</v>
      </c>
      <c r="S52" s="54">
        <f>0.1816</f>
        <v>0.18160000000000001</v>
      </c>
      <c r="T52" s="54">
        <f>0.1835</f>
        <v>0.1835</v>
      </c>
      <c r="U52" s="54">
        <f>0.1853</f>
        <v>0.18529999999999999</v>
      </c>
    </row>
    <row r="53" spans="1:22" ht="93.75" customHeight="1">
      <c r="A53" s="38" t="s">
        <v>139</v>
      </c>
      <c r="B53" s="39" t="s">
        <v>140</v>
      </c>
      <c r="C53" s="45" t="s">
        <v>123</v>
      </c>
      <c r="D53" s="46" t="s">
        <v>123</v>
      </c>
      <c r="E53" s="46" t="s">
        <v>123</v>
      </c>
      <c r="F53" s="47" t="s">
        <v>123</v>
      </c>
      <c r="G53" s="53">
        <f>0.0869</f>
        <v>8.6900000000000005E-2</v>
      </c>
      <c r="H53" s="54">
        <f>0.0878</f>
        <v>8.7800000000000003E-2</v>
      </c>
      <c r="I53" s="54">
        <f>0.0983</f>
        <v>9.8299999999999998E-2</v>
      </c>
      <c r="J53" s="54">
        <f>0.104</f>
        <v>0.104</v>
      </c>
      <c r="K53" s="54">
        <f>0.1013</f>
        <v>0.1013</v>
      </c>
      <c r="L53" s="54">
        <f>0.1012</f>
        <v>0.1012</v>
      </c>
      <c r="M53" s="54">
        <f>0.1143</f>
        <v>0.1143</v>
      </c>
      <c r="N53" s="54">
        <f>0.1264</f>
        <v>0.12640000000000001</v>
      </c>
      <c r="O53" s="54">
        <f>0.1421</f>
        <v>0.1421</v>
      </c>
      <c r="P53" s="54">
        <f>0.1551</f>
        <v>0.15509999999999999</v>
      </c>
      <c r="Q53" s="54">
        <f>0.1666</f>
        <v>0.1666</v>
      </c>
      <c r="R53" s="54">
        <f>0.1712</f>
        <v>0.17119999999999999</v>
      </c>
      <c r="S53" s="54">
        <f>0.1748</f>
        <v>0.17480000000000001</v>
      </c>
      <c r="T53" s="54">
        <f>0.1783</f>
        <v>0.17829999999999999</v>
      </c>
      <c r="U53" s="54">
        <f>0.1812</f>
        <v>0.1812</v>
      </c>
    </row>
    <row r="54" spans="1:22" ht="92.25" customHeight="1">
      <c r="A54" s="38" t="s">
        <v>141</v>
      </c>
      <c r="B54" s="39" t="s">
        <v>142</v>
      </c>
      <c r="C54" s="45" t="s">
        <v>123</v>
      </c>
      <c r="D54" s="46" t="s">
        <v>123</v>
      </c>
      <c r="E54" s="46" t="s">
        <v>123</v>
      </c>
      <c r="F54" s="47" t="s">
        <v>123</v>
      </c>
      <c r="G54" s="53">
        <f>0.0824</f>
        <v>8.2400000000000001E-2</v>
      </c>
      <c r="H54" s="54">
        <f>0.0833</f>
        <v>8.3299999999999999E-2</v>
      </c>
      <c r="I54" s="54">
        <f>0.0938</f>
        <v>9.3799999999999994E-2</v>
      </c>
      <c r="J54" s="54">
        <f>0.104</f>
        <v>0.104</v>
      </c>
      <c r="K54" s="54">
        <f>0.1013</f>
        <v>0.1013</v>
      </c>
      <c r="L54" s="54">
        <f>0.1012</f>
        <v>0.1012</v>
      </c>
      <c r="M54" s="54">
        <f>0.1143</f>
        <v>0.1143</v>
      </c>
      <c r="N54" s="54">
        <f>0.1264</f>
        <v>0.12640000000000001</v>
      </c>
      <c r="O54" s="54">
        <f>0.1421</f>
        <v>0.1421</v>
      </c>
      <c r="P54" s="54">
        <f>0.1551</f>
        <v>0.15509999999999999</v>
      </c>
      <c r="Q54" s="54">
        <f>0.1666</f>
        <v>0.1666</v>
      </c>
      <c r="R54" s="54">
        <f>0.1712</f>
        <v>0.17119999999999999</v>
      </c>
      <c r="S54" s="54">
        <f>0.1748</f>
        <v>0.17480000000000001</v>
      </c>
      <c r="T54" s="54">
        <f>0.1783</f>
        <v>0.17829999999999999</v>
      </c>
      <c r="U54" s="54">
        <f>0.1812</f>
        <v>0.1812</v>
      </c>
    </row>
    <row r="55" spans="1:22" ht="107.25" customHeight="1">
      <c r="A55" s="38" t="s">
        <v>143</v>
      </c>
      <c r="B55" s="39" t="s">
        <v>144</v>
      </c>
      <c r="C55" s="45" t="s">
        <v>123</v>
      </c>
      <c r="D55" s="46" t="s">
        <v>123</v>
      </c>
      <c r="E55" s="46" t="s">
        <v>123</v>
      </c>
      <c r="F55" s="47" t="s">
        <v>123</v>
      </c>
      <c r="G55" s="56" t="str">
        <f>IF(G51&lt;=G53,"Spełniona","Nie spełniona")</f>
        <v>Spełniona</v>
      </c>
      <c r="H55" s="57" t="str">
        <f t="shared" ref="H55:U55" si="7">IF(H51&lt;=H53,"Spełniona","Nie spełniona")</f>
        <v>Spełniona</v>
      </c>
      <c r="I55" s="57" t="str">
        <f t="shared" si="7"/>
        <v>Spełniona</v>
      </c>
      <c r="J55" s="57" t="str">
        <f t="shared" si="7"/>
        <v>Spełniona</v>
      </c>
      <c r="K55" s="57" t="str">
        <f t="shared" si="7"/>
        <v>Spełniona</v>
      </c>
      <c r="L55" s="57" t="str">
        <f t="shared" si="7"/>
        <v>Spełniona</v>
      </c>
      <c r="M55" s="57" t="str">
        <f t="shared" si="7"/>
        <v>Spełniona</v>
      </c>
      <c r="N55" s="57" t="str">
        <f t="shared" si="7"/>
        <v>Spełniona</v>
      </c>
      <c r="O55" s="57" t="str">
        <f t="shared" si="7"/>
        <v>Spełniona</v>
      </c>
      <c r="P55" s="57" t="str">
        <f t="shared" si="7"/>
        <v>Spełniona</v>
      </c>
      <c r="Q55" s="57" t="str">
        <f t="shared" si="7"/>
        <v>Spełniona</v>
      </c>
      <c r="R55" s="57" t="str">
        <f t="shared" si="7"/>
        <v>Spełniona</v>
      </c>
      <c r="S55" s="57" t="str">
        <f t="shared" si="7"/>
        <v>Spełniona</v>
      </c>
      <c r="T55" s="57" t="str">
        <f t="shared" si="7"/>
        <v>Spełniona</v>
      </c>
      <c r="U55" s="57" t="str">
        <f t="shared" si="7"/>
        <v>Spełniona</v>
      </c>
    </row>
    <row r="56" spans="1:22" ht="106.5" customHeight="1">
      <c r="A56" s="38" t="s">
        <v>145</v>
      </c>
      <c r="B56" s="39" t="s">
        <v>146</v>
      </c>
      <c r="C56" s="45" t="s">
        <v>123</v>
      </c>
      <c r="D56" s="46" t="s">
        <v>123</v>
      </c>
      <c r="E56" s="46" t="s">
        <v>123</v>
      </c>
      <c r="F56" s="47" t="s">
        <v>123</v>
      </c>
      <c r="G56" s="56" t="str">
        <f>IF(G51&lt;=G54,"Spełniona","Nie spełniona")</f>
        <v>Spełniona</v>
      </c>
      <c r="H56" s="57" t="str">
        <f t="shared" ref="H56:U56" si="8">IF(H51&lt;=H54,"Spełniona","Nie spełniona")</f>
        <v>Spełniona</v>
      </c>
      <c r="I56" s="57" t="str">
        <f t="shared" si="8"/>
        <v>Spełniona</v>
      </c>
      <c r="J56" s="57" t="str">
        <f t="shared" si="8"/>
        <v>Spełniona</v>
      </c>
      <c r="K56" s="57" t="str">
        <f t="shared" si="8"/>
        <v>Spełniona</v>
      </c>
      <c r="L56" s="57" t="str">
        <f t="shared" si="8"/>
        <v>Spełniona</v>
      </c>
      <c r="M56" s="57" t="str">
        <f t="shared" si="8"/>
        <v>Spełniona</v>
      </c>
      <c r="N56" s="57" t="str">
        <f t="shared" si="8"/>
        <v>Spełniona</v>
      </c>
      <c r="O56" s="57" t="str">
        <f t="shared" si="8"/>
        <v>Spełniona</v>
      </c>
      <c r="P56" s="57" t="str">
        <f t="shared" si="8"/>
        <v>Spełniona</v>
      </c>
      <c r="Q56" s="57" t="str">
        <f t="shared" si="8"/>
        <v>Spełniona</v>
      </c>
      <c r="R56" s="57" t="str">
        <f t="shared" si="8"/>
        <v>Spełniona</v>
      </c>
      <c r="S56" s="57" t="str">
        <f t="shared" si="8"/>
        <v>Spełniona</v>
      </c>
      <c r="T56" s="57" t="str">
        <f t="shared" si="8"/>
        <v>Spełniona</v>
      </c>
      <c r="U56" s="57" t="str">
        <f t="shared" si="8"/>
        <v>Spełniona</v>
      </c>
    </row>
    <row r="57" spans="1:22" ht="30" customHeight="1">
      <c r="A57" s="31">
        <v>10</v>
      </c>
      <c r="B57" s="32" t="s">
        <v>147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6550929</f>
        <v>6550929</v>
      </c>
      <c r="I57" s="37">
        <f>5548276</f>
        <v>5548276</v>
      </c>
      <c r="J57" s="37">
        <f>4814612</f>
        <v>4814612</v>
      </c>
      <c r="K57" s="37">
        <f>3742000</f>
        <v>3742000</v>
      </c>
      <c r="L57" s="37">
        <f>3842000</f>
        <v>3842000</v>
      </c>
      <c r="M57" s="37">
        <f t="shared" ref="M57:O58" si="9">3092000</f>
        <v>3092000</v>
      </c>
      <c r="N57" s="37">
        <f t="shared" si="9"/>
        <v>3092000</v>
      </c>
      <c r="O57" s="37">
        <f t="shared" si="9"/>
        <v>3092000</v>
      </c>
      <c r="P57" s="37">
        <f t="shared" ref="P57:R58" si="10">2300000</f>
        <v>2300000</v>
      </c>
      <c r="Q57" s="37">
        <f t="shared" si="10"/>
        <v>2300000</v>
      </c>
      <c r="R57" s="37">
        <f t="shared" si="10"/>
        <v>2300000</v>
      </c>
      <c r="S57" s="37">
        <f>800000</f>
        <v>800000</v>
      </c>
      <c r="T57" s="37">
        <f>400000</f>
        <v>400000</v>
      </c>
      <c r="U57" s="37">
        <f>400000</f>
        <v>400000</v>
      </c>
      <c r="V57" s="112"/>
    </row>
    <row r="58" spans="1:22" ht="30" customHeight="1">
      <c r="A58" s="38" t="s">
        <v>148</v>
      </c>
      <c r="B58" s="39" t="s">
        <v>149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6550929</f>
        <v>6550929</v>
      </c>
      <c r="I58" s="44">
        <f>5548276</f>
        <v>5548276</v>
      </c>
      <c r="J58" s="44">
        <f>4814612</f>
        <v>4814612</v>
      </c>
      <c r="K58" s="44">
        <f>3742000</f>
        <v>3742000</v>
      </c>
      <c r="L58" s="44">
        <f>3842000</f>
        <v>3842000</v>
      </c>
      <c r="M58" s="44">
        <f t="shared" si="9"/>
        <v>3092000</v>
      </c>
      <c r="N58" s="44">
        <f t="shared" si="9"/>
        <v>3092000</v>
      </c>
      <c r="O58" s="44">
        <f t="shared" si="9"/>
        <v>3092000</v>
      </c>
      <c r="P58" s="44">
        <f t="shared" si="10"/>
        <v>2300000</v>
      </c>
      <c r="Q58" s="44">
        <f t="shared" si="10"/>
        <v>2300000</v>
      </c>
      <c r="R58" s="44">
        <f t="shared" si="10"/>
        <v>2300000</v>
      </c>
      <c r="S58" s="44">
        <f>800000</f>
        <v>800000</v>
      </c>
      <c r="T58" s="44">
        <f>400000</f>
        <v>400000</v>
      </c>
      <c r="U58" s="44">
        <f>400000</f>
        <v>400000</v>
      </c>
    </row>
    <row r="59" spans="1:22" ht="30" customHeight="1">
      <c r="A59" s="31">
        <v>11</v>
      </c>
      <c r="B59" s="32" t="s">
        <v>150</v>
      </c>
      <c r="C59" s="45" t="s">
        <v>123</v>
      </c>
      <c r="D59" s="46" t="s">
        <v>123</v>
      </c>
      <c r="E59" s="46" t="s">
        <v>123</v>
      </c>
      <c r="F59" s="47" t="s">
        <v>123</v>
      </c>
      <c r="G59" s="48" t="s">
        <v>123</v>
      </c>
      <c r="H59" s="49" t="s">
        <v>123</v>
      </c>
      <c r="I59" s="49" t="s">
        <v>123</v>
      </c>
      <c r="J59" s="49" t="s">
        <v>123</v>
      </c>
      <c r="K59" s="49" t="s">
        <v>123</v>
      </c>
      <c r="L59" s="49" t="s">
        <v>123</v>
      </c>
      <c r="M59" s="49" t="s">
        <v>123</v>
      </c>
      <c r="N59" s="49" t="s">
        <v>123</v>
      </c>
      <c r="O59" s="49" t="s">
        <v>123</v>
      </c>
      <c r="P59" s="49" t="s">
        <v>123</v>
      </c>
      <c r="Q59" s="49" t="s">
        <v>123</v>
      </c>
      <c r="R59" s="49" t="s">
        <v>123</v>
      </c>
      <c r="S59" s="49" t="s">
        <v>123</v>
      </c>
      <c r="T59" s="49" t="s">
        <v>123</v>
      </c>
      <c r="U59" s="49" t="s">
        <v>123</v>
      </c>
      <c r="V59" s="112"/>
    </row>
    <row r="60" spans="1:22" ht="30" customHeight="1">
      <c r="A60" s="38" t="s">
        <v>151</v>
      </c>
      <c r="B60" s="39" t="s">
        <v>152</v>
      </c>
      <c r="C60" s="40">
        <f>59898977.95</f>
        <v>59898977.950000003</v>
      </c>
      <c r="D60" s="41">
        <f>65172879.09</f>
        <v>65172879.090000004</v>
      </c>
      <c r="E60" s="41">
        <f>65525908</f>
        <v>65525908</v>
      </c>
      <c r="F60" s="42">
        <f>65879657</f>
        <v>65879657</v>
      </c>
      <c r="G60" s="43">
        <f>67127750</f>
        <v>67127750</v>
      </c>
      <c r="H60" s="44">
        <f>68269885</f>
        <v>68269885</v>
      </c>
      <c r="I60" s="44">
        <f>69771822</f>
        <v>69771822</v>
      </c>
      <c r="J60" s="44">
        <f>71516118</f>
        <v>71516118</v>
      </c>
      <c r="K60" s="44">
        <f>73304021</f>
        <v>73304021</v>
      </c>
      <c r="L60" s="44">
        <f>75136622</f>
        <v>75136622</v>
      </c>
      <c r="M60" s="44">
        <f>77015038</f>
        <v>77015038</v>
      </c>
      <c r="N60" s="44">
        <f>78940414</f>
        <v>78940414</v>
      </c>
      <c r="O60" s="44">
        <f>80913924</f>
        <v>80913924</v>
      </c>
      <c r="P60" s="44">
        <f>82936772</f>
        <v>82936772</v>
      </c>
      <c r="Q60" s="44">
        <f>85010191</f>
        <v>85010191</v>
      </c>
      <c r="R60" s="44">
        <f>87135446</f>
        <v>87135446</v>
      </c>
      <c r="S60" s="44">
        <f>89313832</f>
        <v>89313832</v>
      </c>
      <c r="T60" s="44">
        <f>91546678</f>
        <v>91546678</v>
      </c>
      <c r="U60" s="44">
        <f>93835345</f>
        <v>93835345</v>
      </c>
    </row>
    <row r="61" spans="1:22" ht="36">
      <c r="A61" s="38" t="s">
        <v>153</v>
      </c>
      <c r="B61" s="39" t="s">
        <v>154</v>
      </c>
      <c r="C61" s="40">
        <f>9280656.1</f>
        <v>9280656.0999999996</v>
      </c>
      <c r="D61" s="41">
        <f>9963467.6</f>
        <v>9963467.5999999996</v>
      </c>
      <c r="E61" s="41">
        <f>11651899</f>
        <v>11651899</v>
      </c>
      <c r="F61" s="42">
        <f>11177899</f>
        <v>11177899</v>
      </c>
      <c r="G61" s="43">
        <f>11129336</f>
        <v>11129336</v>
      </c>
      <c r="H61" s="44">
        <f>11419513</f>
        <v>11419513</v>
      </c>
      <c r="I61" s="44">
        <f>11159742</f>
        <v>11159742</v>
      </c>
      <c r="J61" s="44">
        <f>11438736</f>
        <v>11438736</v>
      </c>
      <c r="K61" s="44">
        <f>11724704</f>
        <v>11724704</v>
      </c>
      <c r="L61" s="44">
        <f>12017822</f>
        <v>12017822</v>
      </c>
      <c r="M61" s="44">
        <f>12318268</f>
        <v>12318268</v>
      </c>
      <c r="N61" s="44">
        <f>12626225</f>
        <v>12626225</v>
      </c>
      <c r="O61" s="44">
        <f>12941881</f>
        <v>12941881</v>
      </c>
      <c r="P61" s="44">
        <f>13265428</f>
        <v>13265428</v>
      </c>
      <c r="Q61" s="44">
        <f>13597064</f>
        <v>13597064</v>
      </c>
      <c r="R61" s="44">
        <f>13936991</f>
        <v>13936991</v>
      </c>
      <c r="S61" s="44">
        <f>14285416</f>
        <v>14285416</v>
      </c>
      <c r="T61" s="44">
        <f>14642551</f>
        <v>14642551</v>
      </c>
      <c r="U61" s="44">
        <f>15008615</f>
        <v>15008615</v>
      </c>
    </row>
    <row r="62" spans="1:22" ht="30" customHeight="1">
      <c r="A62" s="38" t="s">
        <v>155</v>
      </c>
      <c r="B62" s="39" t="s">
        <v>156</v>
      </c>
      <c r="C62" s="40">
        <f>2032849.68</f>
        <v>2032849.68</v>
      </c>
      <c r="D62" s="41">
        <f>2598399.8</f>
        <v>2598399.7999999998</v>
      </c>
      <c r="E62" s="41">
        <f>9077897</f>
        <v>9077897</v>
      </c>
      <c r="F62" s="42">
        <f>5255817</f>
        <v>5255817</v>
      </c>
      <c r="G62" s="43">
        <f>12715679</f>
        <v>12715679</v>
      </c>
      <c r="H62" s="44">
        <f>16317505</f>
        <v>16317505</v>
      </c>
      <c r="I62" s="44">
        <f>12980000</f>
        <v>12980000</v>
      </c>
      <c r="J62" s="44">
        <f>1700000</f>
        <v>1700000</v>
      </c>
      <c r="K62" s="44">
        <f>200000</f>
        <v>200000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  <c r="U62" s="44">
        <f>0</f>
        <v>0</v>
      </c>
    </row>
    <row r="63" spans="1:22" ht="17.25" customHeight="1">
      <c r="A63" s="38" t="s">
        <v>157</v>
      </c>
      <c r="B63" s="39" t="s">
        <v>158</v>
      </c>
      <c r="C63" s="40">
        <f>1900497.84</f>
        <v>1900497.84</v>
      </c>
      <c r="D63" s="41">
        <f>1723051.81</f>
        <v>1723051.81</v>
      </c>
      <c r="E63" s="41">
        <f>891576</f>
        <v>891576</v>
      </c>
      <c r="F63" s="42">
        <f>891576</f>
        <v>891576</v>
      </c>
      <c r="G63" s="43">
        <f>1326781</f>
        <v>1326781</v>
      </c>
      <c r="H63" s="44">
        <f>432169</f>
        <v>432169</v>
      </c>
      <c r="I63" s="44">
        <f>80000</f>
        <v>80000</v>
      </c>
      <c r="J63" s="44">
        <f>0</f>
        <v>0</v>
      </c>
      <c r="K63" s="44">
        <f>0</f>
        <v>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  <c r="U63" s="44">
        <f>0</f>
        <v>0</v>
      </c>
    </row>
    <row r="64" spans="1:22" ht="17.25" customHeight="1">
      <c r="A64" s="38" t="s">
        <v>159</v>
      </c>
      <c r="B64" s="39" t="s">
        <v>160</v>
      </c>
      <c r="C64" s="40">
        <f>132351.84</f>
        <v>132351.84</v>
      </c>
      <c r="D64" s="41">
        <f>875347.99</f>
        <v>875347.99</v>
      </c>
      <c r="E64" s="41">
        <f>8186321</f>
        <v>8186321</v>
      </c>
      <c r="F64" s="42">
        <f>4364241</f>
        <v>4364241</v>
      </c>
      <c r="G64" s="43">
        <f>11388898</f>
        <v>11388898</v>
      </c>
      <c r="H64" s="44">
        <f>15885336</f>
        <v>15885336</v>
      </c>
      <c r="I64" s="44">
        <f>12900000</f>
        <v>12900000</v>
      </c>
      <c r="J64" s="44">
        <f>1700000</f>
        <v>1700000</v>
      </c>
      <c r="K64" s="44">
        <f>200000</f>
        <v>200000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  <c r="U64" s="44">
        <f>0</f>
        <v>0</v>
      </c>
    </row>
    <row r="65" spans="1:22" ht="17.25" customHeight="1">
      <c r="A65" s="38" t="s">
        <v>161</v>
      </c>
      <c r="B65" s="39" t="s">
        <v>162</v>
      </c>
      <c r="C65" s="40">
        <f>35000</f>
        <v>35000</v>
      </c>
      <c r="D65" s="41">
        <f>754548.64</f>
        <v>754548.64</v>
      </c>
      <c r="E65" s="41">
        <f>7935000</f>
        <v>7935000</v>
      </c>
      <c r="F65" s="42">
        <f>4112920</f>
        <v>4112920</v>
      </c>
      <c r="G65" s="43">
        <f>10508761</f>
        <v>10508761</v>
      </c>
      <c r="H65" s="44">
        <f>15770000</f>
        <v>15770000</v>
      </c>
      <c r="I65" s="44">
        <f>12900000</f>
        <v>12900000</v>
      </c>
      <c r="J65" s="44">
        <f>1700000</f>
        <v>1700000</v>
      </c>
      <c r="K65" s="44">
        <f>200000</f>
        <v>200000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  <c r="U65" s="44">
        <f>0</f>
        <v>0</v>
      </c>
    </row>
    <row r="66" spans="1:22" ht="17.25" customHeight="1">
      <c r="A66" s="38" t="s">
        <v>163</v>
      </c>
      <c r="B66" s="39" t="s">
        <v>164</v>
      </c>
      <c r="C66" s="40">
        <f>7323145.22</f>
        <v>7323145.2199999997</v>
      </c>
      <c r="D66" s="41">
        <f>5975191.67</f>
        <v>5975191.6699999999</v>
      </c>
      <c r="E66" s="41">
        <f>4982758</f>
        <v>4982758</v>
      </c>
      <c r="F66" s="42">
        <f>4974792</f>
        <v>4974792</v>
      </c>
      <c r="G66" s="43">
        <f>7755467</f>
        <v>7755467</v>
      </c>
      <c r="H66" s="44">
        <f>3671544</f>
        <v>3671544</v>
      </c>
      <c r="I66" s="44">
        <f>3394940</f>
        <v>3394940</v>
      </c>
      <c r="J66" s="44">
        <f>7260925</f>
        <v>7260925</v>
      </c>
      <c r="K66" s="44">
        <f>11585858</f>
        <v>11585858</v>
      </c>
      <c r="L66" s="44">
        <f>14305983</f>
        <v>14305983</v>
      </c>
      <c r="M66" s="44">
        <f>16758286</f>
        <v>16758286</v>
      </c>
      <c r="N66" s="44">
        <f>20985145</f>
        <v>20985145</v>
      </c>
      <c r="O66" s="44">
        <f>22775850</f>
        <v>22775850</v>
      </c>
      <c r="P66" s="44">
        <f>24821357</f>
        <v>24821357</v>
      </c>
      <c r="Q66" s="44">
        <f>26176313</f>
        <v>26176313</v>
      </c>
      <c r="R66" s="44">
        <f>27632038</f>
        <v>27632038</v>
      </c>
      <c r="S66" s="44">
        <f>30474704</f>
        <v>30474704</v>
      </c>
      <c r="T66" s="44">
        <f>32042091</f>
        <v>32042091</v>
      </c>
      <c r="U66" s="44">
        <f>33226606</f>
        <v>33226606</v>
      </c>
    </row>
    <row r="67" spans="1:22" ht="17.25" customHeight="1">
      <c r="A67" s="38" t="s">
        <v>165</v>
      </c>
      <c r="B67" s="39" t="s">
        <v>166</v>
      </c>
      <c r="C67" s="40">
        <f>133351.84</f>
        <v>133351.84</v>
      </c>
      <c r="D67" s="41">
        <f>151426.54</f>
        <v>151426.54</v>
      </c>
      <c r="E67" s="41">
        <f>157021</f>
        <v>157021</v>
      </c>
      <c r="F67" s="42">
        <f>146515</f>
        <v>146515</v>
      </c>
      <c r="G67" s="43">
        <f>435137</f>
        <v>435137</v>
      </c>
      <c r="H67" s="44">
        <f>115336</f>
        <v>115336</v>
      </c>
      <c r="I67" s="44">
        <f>0</f>
        <v>0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  <c r="U67" s="44">
        <f>0</f>
        <v>0</v>
      </c>
    </row>
    <row r="68" spans="1:22" ht="54.75" customHeight="1">
      <c r="A68" s="31">
        <v>12</v>
      </c>
      <c r="B68" s="32" t="s">
        <v>167</v>
      </c>
      <c r="C68" s="45" t="s">
        <v>123</v>
      </c>
      <c r="D68" s="46" t="s">
        <v>123</v>
      </c>
      <c r="E68" s="46" t="s">
        <v>123</v>
      </c>
      <c r="F68" s="47" t="s">
        <v>123</v>
      </c>
      <c r="G68" s="48" t="s">
        <v>123</v>
      </c>
      <c r="H68" s="49" t="s">
        <v>123</v>
      </c>
      <c r="I68" s="49" t="s">
        <v>123</v>
      </c>
      <c r="J68" s="49" t="s">
        <v>123</v>
      </c>
      <c r="K68" s="49" t="s">
        <v>123</v>
      </c>
      <c r="L68" s="49" t="s">
        <v>123</v>
      </c>
      <c r="M68" s="49" t="s">
        <v>123</v>
      </c>
      <c r="N68" s="49" t="s">
        <v>123</v>
      </c>
      <c r="O68" s="49" t="s">
        <v>123</v>
      </c>
      <c r="P68" s="49" t="s">
        <v>123</v>
      </c>
      <c r="Q68" s="49" t="s">
        <v>123</v>
      </c>
      <c r="R68" s="49" t="s">
        <v>123</v>
      </c>
      <c r="S68" s="49" t="s">
        <v>123</v>
      </c>
      <c r="T68" s="49" t="s">
        <v>123</v>
      </c>
      <c r="U68" s="49" t="s">
        <v>123</v>
      </c>
      <c r="V68" s="112"/>
    </row>
    <row r="69" spans="1:22" ht="55.5" customHeight="1">
      <c r="A69" s="38" t="s">
        <v>168</v>
      </c>
      <c r="B69" s="39" t="s">
        <v>169</v>
      </c>
      <c r="C69" s="40">
        <f>1760525.6</f>
        <v>1760525.6</v>
      </c>
      <c r="D69" s="41">
        <f>1464674.96</f>
        <v>1464674.96</v>
      </c>
      <c r="E69" s="41">
        <f>1039676</f>
        <v>1039676</v>
      </c>
      <c r="F69" s="42">
        <f>1039676</f>
        <v>1039676</v>
      </c>
      <c r="G69" s="43">
        <f>1179552</f>
        <v>1179552</v>
      </c>
      <c r="H69" s="44">
        <f>305108</f>
        <v>305108</v>
      </c>
      <c r="I69" s="44">
        <f>0</f>
        <v>0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  <c r="U69" s="44">
        <f>0</f>
        <v>0</v>
      </c>
    </row>
    <row r="70" spans="1:22" ht="28.5" customHeight="1">
      <c r="A70" s="38" t="s">
        <v>170</v>
      </c>
      <c r="B70" s="58" t="s">
        <v>171</v>
      </c>
      <c r="C70" s="40">
        <f>1577486.27</f>
        <v>1577486.27</v>
      </c>
      <c r="D70" s="41">
        <f>1385887.31</f>
        <v>1385887.31</v>
      </c>
      <c r="E70" s="41">
        <f>1017461</f>
        <v>1017461</v>
      </c>
      <c r="F70" s="42">
        <f>1017461</f>
        <v>1017461</v>
      </c>
      <c r="G70" s="43">
        <f>1179552</f>
        <v>1179552</v>
      </c>
      <c r="H70" s="44">
        <f>305108</f>
        <v>305108</v>
      </c>
      <c r="I70" s="44">
        <f>0</f>
        <v>0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  <c r="U70" s="44">
        <f>0</f>
        <v>0</v>
      </c>
    </row>
    <row r="71" spans="1:22" ht="54.75" customHeight="1">
      <c r="A71" s="38" t="s">
        <v>172</v>
      </c>
      <c r="B71" s="58" t="s">
        <v>173</v>
      </c>
      <c r="C71" s="40">
        <f>1577486.27</f>
        <v>1577486.27</v>
      </c>
      <c r="D71" s="41">
        <f>1385887.31</f>
        <v>1385887.31</v>
      </c>
      <c r="E71" s="41">
        <f>1017461</f>
        <v>1017461</v>
      </c>
      <c r="F71" s="42">
        <f>1017461</f>
        <v>1017461</v>
      </c>
      <c r="G71" s="43">
        <f>853295</f>
        <v>853295</v>
      </c>
      <c r="H71" s="44">
        <f>174209</f>
        <v>174209</v>
      </c>
      <c r="I71" s="44">
        <f>0</f>
        <v>0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  <c r="U71" s="44">
        <f>0</f>
        <v>0</v>
      </c>
    </row>
    <row r="72" spans="1:22" ht="56.25" customHeight="1">
      <c r="A72" s="38" t="s">
        <v>174</v>
      </c>
      <c r="B72" s="39" t="s">
        <v>175</v>
      </c>
      <c r="C72" s="40">
        <f>0</f>
        <v>0</v>
      </c>
      <c r="D72" s="41">
        <f>0</f>
        <v>0</v>
      </c>
      <c r="E72" s="41">
        <f>1120</f>
        <v>1120</v>
      </c>
      <c r="F72" s="42">
        <f>1120</f>
        <v>1120</v>
      </c>
      <c r="G72" s="43">
        <f>939241</f>
        <v>939241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  <c r="U72" s="44">
        <f>0</f>
        <v>0</v>
      </c>
    </row>
    <row r="73" spans="1:22" ht="31.5" customHeight="1">
      <c r="A73" s="38" t="s">
        <v>176</v>
      </c>
      <c r="B73" s="58" t="s">
        <v>171</v>
      </c>
      <c r="C73" s="40">
        <f>0</f>
        <v>0</v>
      </c>
      <c r="D73" s="41">
        <f>0</f>
        <v>0</v>
      </c>
      <c r="E73" s="41">
        <f>1120</f>
        <v>1120</v>
      </c>
      <c r="F73" s="42">
        <f>1120</f>
        <v>1120</v>
      </c>
      <c r="G73" s="43">
        <f>675561</f>
        <v>675561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  <c r="U73" s="44">
        <f>0</f>
        <v>0</v>
      </c>
    </row>
    <row r="74" spans="1:22" ht="57" customHeight="1">
      <c r="A74" s="38" t="s">
        <v>177</v>
      </c>
      <c r="B74" s="58" t="s">
        <v>178</v>
      </c>
      <c r="C74" s="40">
        <f>0</f>
        <v>0</v>
      </c>
      <c r="D74" s="41">
        <f>0</f>
        <v>0</v>
      </c>
      <c r="E74" s="41">
        <f>1120</f>
        <v>1120</v>
      </c>
      <c r="F74" s="42">
        <f>1120</f>
        <v>1120</v>
      </c>
      <c r="G74" s="43">
        <f>675561</f>
        <v>675561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  <c r="U74" s="44">
        <f>0</f>
        <v>0</v>
      </c>
    </row>
    <row r="75" spans="1:22" ht="57.75" customHeight="1">
      <c r="A75" s="38" t="s">
        <v>179</v>
      </c>
      <c r="B75" s="39" t="s">
        <v>180</v>
      </c>
      <c r="C75" s="40">
        <f>1860497.84</f>
        <v>1860497.84</v>
      </c>
      <c r="D75" s="41">
        <f>1657551.81</f>
        <v>1657551.81</v>
      </c>
      <c r="E75" s="41">
        <f t="shared" ref="E75:F77" si="11">891576</f>
        <v>891576</v>
      </c>
      <c r="F75" s="42">
        <f t="shared" si="11"/>
        <v>891576</v>
      </c>
      <c r="G75" s="43">
        <f>1246781</f>
        <v>1246781</v>
      </c>
      <c r="H75" s="44">
        <f>352169</f>
        <v>352169</v>
      </c>
      <c r="I75" s="44">
        <f>0</f>
        <v>0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  <c r="U75" s="44">
        <f>0</f>
        <v>0</v>
      </c>
    </row>
    <row r="76" spans="1:22" ht="32.25" customHeight="1">
      <c r="A76" s="38" t="s">
        <v>181</v>
      </c>
      <c r="B76" s="58" t="s">
        <v>182</v>
      </c>
      <c r="C76" s="40">
        <f>1577486.27</f>
        <v>1577486.27</v>
      </c>
      <c r="D76" s="41">
        <f>1511772.32</f>
        <v>1511772.32</v>
      </c>
      <c r="E76" s="41">
        <f t="shared" si="11"/>
        <v>891576</v>
      </c>
      <c r="F76" s="42">
        <f t="shared" si="11"/>
        <v>891576</v>
      </c>
      <c r="G76" s="43">
        <f>1179552</f>
        <v>1179552</v>
      </c>
      <c r="H76" s="44">
        <f>305108</f>
        <v>305108</v>
      </c>
      <c r="I76" s="44">
        <f>0</f>
        <v>0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  <c r="U76" s="44">
        <f>0</f>
        <v>0</v>
      </c>
    </row>
    <row r="77" spans="1:22" ht="72" customHeight="1">
      <c r="A77" s="38" t="s">
        <v>183</v>
      </c>
      <c r="B77" s="39" t="s">
        <v>184</v>
      </c>
      <c r="C77" s="40">
        <f>1577486.27</f>
        <v>1577486.27</v>
      </c>
      <c r="D77" s="41">
        <f>1511772.32</f>
        <v>1511772.32</v>
      </c>
      <c r="E77" s="41">
        <f t="shared" si="11"/>
        <v>891576</v>
      </c>
      <c r="F77" s="42">
        <f t="shared" si="11"/>
        <v>891576</v>
      </c>
      <c r="G77" s="43">
        <f>853295</f>
        <v>853295</v>
      </c>
      <c r="H77" s="44">
        <f>174209</f>
        <v>174209</v>
      </c>
      <c r="I77" s="44">
        <f>0</f>
        <v>0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  <c r="U77" s="44">
        <f>0</f>
        <v>0</v>
      </c>
    </row>
    <row r="78" spans="1:22" ht="54.75" customHeight="1">
      <c r="A78" s="38" t="s">
        <v>185</v>
      </c>
      <c r="B78" s="39" t="s">
        <v>186</v>
      </c>
      <c r="C78" s="40">
        <f>97351.84</f>
        <v>97351.84</v>
      </c>
      <c r="D78" s="41">
        <f>117799.35</f>
        <v>117799.35</v>
      </c>
      <c r="E78" s="41">
        <f>68621</f>
        <v>68621</v>
      </c>
      <c r="F78" s="42">
        <f>68621</f>
        <v>68621</v>
      </c>
      <c r="G78" s="43">
        <f>1098898</f>
        <v>1098898</v>
      </c>
      <c r="H78" s="44">
        <f>115336</f>
        <v>115336</v>
      </c>
      <c r="I78" s="44">
        <f>0</f>
        <v>0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  <c r="U78" s="44">
        <f>0</f>
        <v>0</v>
      </c>
    </row>
    <row r="79" spans="1:22" ht="30" customHeight="1">
      <c r="A79" s="38" t="s">
        <v>187</v>
      </c>
      <c r="B79" s="58" t="s">
        <v>188</v>
      </c>
      <c r="C79" s="40">
        <f>0</f>
        <v>0</v>
      </c>
      <c r="D79" s="41">
        <f>0</f>
        <v>0</v>
      </c>
      <c r="E79" s="41">
        <f>1120</f>
        <v>1120</v>
      </c>
      <c r="F79" s="42">
        <f>1120</f>
        <v>1120</v>
      </c>
      <c r="G79" s="43">
        <f>675561</f>
        <v>675561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  <c r="U79" s="44">
        <f>0</f>
        <v>0</v>
      </c>
    </row>
    <row r="80" spans="1:22" ht="81" customHeight="1">
      <c r="A80" s="38" t="s">
        <v>189</v>
      </c>
      <c r="B80" s="39" t="s">
        <v>190</v>
      </c>
      <c r="C80" s="40">
        <f>0</f>
        <v>0</v>
      </c>
      <c r="D80" s="41">
        <f>0</f>
        <v>0</v>
      </c>
      <c r="E80" s="41">
        <f>1120</f>
        <v>1120</v>
      </c>
      <c r="F80" s="42">
        <f>1120</f>
        <v>1120</v>
      </c>
      <c r="G80" s="43">
        <f>675561</f>
        <v>675561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  <c r="U80" s="44">
        <f>0</f>
        <v>0</v>
      </c>
    </row>
    <row r="81" spans="1:22" ht="81" customHeight="1">
      <c r="A81" s="38" t="s">
        <v>191</v>
      </c>
      <c r="B81" s="39" t="s">
        <v>192</v>
      </c>
      <c r="C81" s="40">
        <f>380363.41</f>
        <v>380363.41</v>
      </c>
      <c r="D81" s="41">
        <f>263578.84</f>
        <v>263578.84000000003</v>
      </c>
      <c r="E81" s="41">
        <f t="shared" ref="E81:F84" si="12">67501</f>
        <v>67501</v>
      </c>
      <c r="F81" s="42">
        <f t="shared" si="12"/>
        <v>67501</v>
      </c>
      <c r="G81" s="43">
        <f>490566</f>
        <v>490566</v>
      </c>
      <c r="H81" s="44">
        <f>162397</f>
        <v>162397</v>
      </c>
      <c r="I81" s="44">
        <f>0</f>
        <v>0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  <c r="U81" s="44">
        <f>0</f>
        <v>0</v>
      </c>
    </row>
    <row r="82" spans="1:22" ht="32.25" customHeight="1">
      <c r="A82" s="38" t="s">
        <v>193</v>
      </c>
      <c r="B82" s="39" t="s">
        <v>194</v>
      </c>
      <c r="C82" s="40">
        <f>380363.41</f>
        <v>380363.41</v>
      </c>
      <c r="D82" s="41">
        <f>263578.84</f>
        <v>263578.84000000003</v>
      </c>
      <c r="E82" s="41">
        <f t="shared" si="12"/>
        <v>67501</v>
      </c>
      <c r="F82" s="42">
        <f t="shared" si="12"/>
        <v>67501</v>
      </c>
      <c r="G82" s="43">
        <f>423337</f>
        <v>423337</v>
      </c>
      <c r="H82" s="44">
        <f>115336</f>
        <v>115336</v>
      </c>
      <c r="I82" s="44">
        <f>0</f>
        <v>0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  <c r="U82" s="44">
        <f>0</f>
        <v>0</v>
      </c>
    </row>
    <row r="83" spans="1:22" ht="83.25" customHeight="1">
      <c r="A83" s="38" t="s">
        <v>195</v>
      </c>
      <c r="B83" s="39" t="s">
        <v>196</v>
      </c>
      <c r="C83" s="40">
        <f>131162.93</f>
        <v>131162.93</v>
      </c>
      <c r="D83" s="41">
        <f>48172</f>
        <v>48172</v>
      </c>
      <c r="E83" s="41">
        <f t="shared" si="12"/>
        <v>67501</v>
      </c>
      <c r="F83" s="42">
        <f t="shared" si="12"/>
        <v>67501</v>
      </c>
      <c r="G83" s="43">
        <f>423337</f>
        <v>423337</v>
      </c>
      <c r="H83" s="44">
        <f>115336</f>
        <v>115336</v>
      </c>
      <c r="I83" s="44">
        <f>0</f>
        <v>0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  <c r="U83" s="44">
        <f>0</f>
        <v>0</v>
      </c>
    </row>
    <row r="84" spans="1:22" ht="32.25" customHeight="1">
      <c r="A84" s="38" t="s">
        <v>197</v>
      </c>
      <c r="B84" s="39" t="s">
        <v>194</v>
      </c>
      <c r="C84" s="40">
        <f>131162.93</f>
        <v>131162.93</v>
      </c>
      <c r="D84" s="41">
        <f>48172</f>
        <v>48172</v>
      </c>
      <c r="E84" s="41">
        <f t="shared" si="12"/>
        <v>67501</v>
      </c>
      <c r="F84" s="42">
        <f t="shared" si="12"/>
        <v>67501</v>
      </c>
      <c r="G84" s="43">
        <f>423337</f>
        <v>423337</v>
      </c>
      <c r="H84" s="44">
        <f>115336</f>
        <v>115336</v>
      </c>
      <c r="I84" s="44">
        <f>0</f>
        <v>0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  <c r="U84" s="44">
        <f>0</f>
        <v>0</v>
      </c>
    </row>
    <row r="85" spans="1:22" ht="102" customHeight="1">
      <c r="A85" s="38" t="s">
        <v>198</v>
      </c>
      <c r="B85" s="39" t="s">
        <v>199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  <c r="U85" s="44">
        <f>0</f>
        <v>0</v>
      </c>
    </row>
    <row r="86" spans="1:22" ht="31.5" customHeight="1">
      <c r="A86" s="38" t="s">
        <v>200</v>
      </c>
      <c r="B86" s="39" t="s">
        <v>194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  <c r="U86" s="44">
        <f>0</f>
        <v>0</v>
      </c>
    </row>
    <row r="87" spans="1:22" ht="100.5" customHeight="1">
      <c r="A87" s="38" t="s">
        <v>201</v>
      </c>
      <c r="B87" s="39" t="s">
        <v>202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  <c r="U87" s="44">
        <f>0</f>
        <v>0</v>
      </c>
    </row>
    <row r="88" spans="1:22" ht="33.75" customHeight="1">
      <c r="A88" s="38" t="s">
        <v>203</v>
      </c>
      <c r="B88" s="39" t="s">
        <v>194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  <c r="U88" s="44">
        <f>0</f>
        <v>0</v>
      </c>
    </row>
    <row r="89" spans="1:22" ht="69" customHeight="1">
      <c r="A89" s="31">
        <v>13</v>
      </c>
      <c r="B89" s="32" t="s">
        <v>204</v>
      </c>
      <c r="C89" s="45" t="s">
        <v>123</v>
      </c>
      <c r="D89" s="46" t="s">
        <v>123</v>
      </c>
      <c r="E89" s="46" t="s">
        <v>123</v>
      </c>
      <c r="F89" s="47" t="s">
        <v>123</v>
      </c>
      <c r="G89" s="48" t="s">
        <v>123</v>
      </c>
      <c r="H89" s="49" t="s">
        <v>123</v>
      </c>
      <c r="I89" s="49" t="s">
        <v>123</v>
      </c>
      <c r="J89" s="49" t="s">
        <v>123</v>
      </c>
      <c r="K89" s="49" t="s">
        <v>123</v>
      </c>
      <c r="L89" s="49" t="s">
        <v>123</v>
      </c>
      <c r="M89" s="49" t="s">
        <v>123</v>
      </c>
      <c r="N89" s="49" t="s">
        <v>123</v>
      </c>
      <c r="O89" s="49" t="s">
        <v>123</v>
      </c>
      <c r="P89" s="49" t="s">
        <v>123</v>
      </c>
      <c r="Q89" s="49" t="s">
        <v>123</v>
      </c>
      <c r="R89" s="49" t="s">
        <v>123</v>
      </c>
      <c r="S89" s="49" t="s">
        <v>123</v>
      </c>
      <c r="T89" s="49" t="s">
        <v>123</v>
      </c>
      <c r="U89" s="49" t="s">
        <v>123</v>
      </c>
      <c r="V89" s="112"/>
    </row>
    <row r="90" spans="1:22" ht="78" customHeight="1">
      <c r="A90" s="38" t="s">
        <v>205</v>
      </c>
      <c r="B90" s="39" t="s">
        <v>206</v>
      </c>
      <c r="C90" s="40">
        <f>6162076.32</f>
        <v>6162076.3200000003</v>
      </c>
      <c r="D90" s="41">
        <f>3928571.45</f>
        <v>3928571.45</v>
      </c>
      <c r="E90" s="41">
        <f>3273810</f>
        <v>3273810</v>
      </c>
      <c r="F90" s="42">
        <f>3273810</f>
        <v>3273810</v>
      </c>
      <c r="G90" s="43">
        <f>2619048</f>
        <v>2619048</v>
      </c>
      <c r="H90" s="44">
        <f>1964286</f>
        <v>1964286</v>
      </c>
      <c r="I90" s="44">
        <f>1309524</f>
        <v>1309524</v>
      </c>
      <c r="J90" s="44">
        <f>654762</f>
        <v>654762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  <c r="U90" s="44">
        <f>0</f>
        <v>0</v>
      </c>
    </row>
    <row r="91" spans="1:22" ht="69" customHeight="1">
      <c r="A91" s="38" t="s">
        <v>207</v>
      </c>
      <c r="B91" s="39" t="s">
        <v>208</v>
      </c>
      <c r="C91" s="40">
        <f>70033.37</f>
        <v>70033.37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  <c r="U91" s="44">
        <f>0</f>
        <v>0</v>
      </c>
    </row>
    <row r="92" spans="1:22" ht="43.5" customHeight="1">
      <c r="A92" s="38" t="s">
        <v>209</v>
      </c>
      <c r="B92" s="39" t="s">
        <v>210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  <c r="U92" s="44">
        <f>0</f>
        <v>0</v>
      </c>
    </row>
    <row r="93" spans="1:22" ht="67.5" customHeight="1">
      <c r="A93" s="38" t="s">
        <v>211</v>
      </c>
      <c r="B93" s="39" t="s">
        <v>212</v>
      </c>
      <c r="C93" s="40">
        <f>1120959.84</f>
        <v>1120959.8400000001</v>
      </c>
      <c r="D93" s="41">
        <f>2233504.87</f>
        <v>2233504.87</v>
      </c>
      <c r="E93" s="41">
        <f t="shared" ref="E93:K93" si="13">654762</f>
        <v>654762</v>
      </c>
      <c r="F93" s="42">
        <f t="shared" si="13"/>
        <v>654762</v>
      </c>
      <c r="G93" s="43">
        <f t="shared" si="13"/>
        <v>654762</v>
      </c>
      <c r="H93" s="44">
        <f t="shared" si="13"/>
        <v>654762</v>
      </c>
      <c r="I93" s="44">
        <f t="shared" si="13"/>
        <v>654762</v>
      </c>
      <c r="J93" s="44">
        <f t="shared" si="13"/>
        <v>654762</v>
      </c>
      <c r="K93" s="44">
        <f t="shared" si="13"/>
        <v>654762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  <c r="U93" s="44">
        <f>0</f>
        <v>0</v>
      </c>
    </row>
    <row r="94" spans="1:22" ht="68.25" customHeight="1">
      <c r="A94" s="38" t="s">
        <v>213</v>
      </c>
      <c r="B94" s="39" t="s">
        <v>214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  <c r="U94" s="44">
        <f>0</f>
        <v>0</v>
      </c>
    </row>
    <row r="95" spans="1:22" ht="66" customHeight="1">
      <c r="A95" s="38" t="s">
        <v>215</v>
      </c>
      <c r="B95" s="39" t="s">
        <v>216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  <c r="U95" s="44">
        <f>0</f>
        <v>0</v>
      </c>
    </row>
    <row r="96" spans="1:22" ht="45.75" customHeight="1">
      <c r="A96" s="38" t="s">
        <v>217</v>
      </c>
      <c r="B96" s="39" t="s">
        <v>218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  <c r="U96" s="44">
        <f>0</f>
        <v>0</v>
      </c>
    </row>
    <row r="97" spans="1:22" ht="24">
      <c r="A97" s="31">
        <v>14</v>
      </c>
      <c r="B97" s="32" t="s">
        <v>219</v>
      </c>
      <c r="C97" s="45" t="s">
        <v>123</v>
      </c>
      <c r="D97" s="46" t="s">
        <v>123</v>
      </c>
      <c r="E97" s="46" t="s">
        <v>123</v>
      </c>
      <c r="F97" s="47" t="s">
        <v>123</v>
      </c>
      <c r="G97" s="48" t="s">
        <v>123</v>
      </c>
      <c r="H97" s="49" t="s">
        <v>123</v>
      </c>
      <c r="I97" s="49" t="s">
        <v>123</v>
      </c>
      <c r="J97" s="49" t="s">
        <v>123</v>
      </c>
      <c r="K97" s="49" t="s">
        <v>123</v>
      </c>
      <c r="L97" s="49" t="s">
        <v>123</v>
      </c>
      <c r="M97" s="49" t="s">
        <v>123</v>
      </c>
      <c r="N97" s="49" t="s">
        <v>123</v>
      </c>
      <c r="O97" s="49" t="s">
        <v>123</v>
      </c>
      <c r="P97" s="49" t="s">
        <v>123</v>
      </c>
      <c r="Q97" s="49" t="s">
        <v>123</v>
      </c>
      <c r="R97" s="49" t="s">
        <v>123</v>
      </c>
      <c r="S97" s="49" t="s">
        <v>123</v>
      </c>
      <c r="T97" s="49" t="s">
        <v>123</v>
      </c>
      <c r="U97" s="49" t="s">
        <v>123</v>
      </c>
      <c r="V97" s="112"/>
    </row>
    <row r="98" spans="1:22" ht="57.75" customHeight="1">
      <c r="A98" s="38" t="s">
        <v>220</v>
      </c>
      <c r="B98" s="39" t="s">
        <v>221</v>
      </c>
      <c r="C98" s="40">
        <f>7051032</f>
        <v>7051032</v>
      </c>
      <c r="D98" s="41">
        <f>7257180.85</f>
        <v>7257180.8499999996</v>
      </c>
      <c r="E98" s="41">
        <f>7229323</f>
        <v>7229323</v>
      </c>
      <c r="F98" s="42">
        <f>7229323</f>
        <v>7229323</v>
      </c>
      <c r="G98" s="43">
        <f>6677276</f>
        <v>6677276</v>
      </c>
      <c r="H98" s="44">
        <f>6510929</f>
        <v>6510929</v>
      </c>
      <c r="I98" s="44">
        <f>5388276</f>
        <v>5388276</v>
      </c>
      <c r="J98" s="44">
        <f>4414612</f>
        <v>4414612</v>
      </c>
      <c r="K98" s="44">
        <f>3342000</f>
        <v>3342000</v>
      </c>
      <c r="L98" s="44">
        <f>3442000</f>
        <v>3442000</v>
      </c>
      <c r="M98" s="44">
        <f>2692000</f>
        <v>2692000</v>
      </c>
      <c r="N98" s="44">
        <f>2692000</f>
        <v>2692000</v>
      </c>
      <c r="O98" s="44">
        <f>2692000</f>
        <v>2692000</v>
      </c>
      <c r="P98" s="44">
        <f>1900000</f>
        <v>1900000</v>
      </c>
      <c r="Q98" s="44">
        <f>1900000</f>
        <v>1900000</v>
      </c>
      <c r="R98" s="44">
        <f>1900000</f>
        <v>1900000</v>
      </c>
      <c r="S98" s="44">
        <f>400000</f>
        <v>400000</v>
      </c>
      <c r="T98" s="44">
        <f>400000</f>
        <v>400000</v>
      </c>
      <c r="U98" s="44">
        <f>400000</f>
        <v>400000</v>
      </c>
    </row>
    <row r="99" spans="1:22" ht="32.25" customHeight="1">
      <c r="A99" s="38" t="s">
        <v>222</v>
      </c>
      <c r="B99" s="39" t="s">
        <v>223</v>
      </c>
      <c r="C99" s="40">
        <f>6162076.32</f>
        <v>6162076.3200000003</v>
      </c>
      <c r="D99" s="41">
        <f>3928571.45</f>
        <v>3928571.45</v>
      </c>
      <c r="E99" s="41">
        <f>3273810</f>
        <v>3273810</v>
      </c>
      <c r="F99" s="42">
        <f>3273810</f>
        <v>3273810</v>
      </c>
      <c r="G99" s="43">
        <f>2619048</f>
        <v>2619048</v>
      </c>
      <c r="H99" s="44">
        <f>1964286</f>
        <v>1964286</v>
      </c>
      <c r="I99" s="44">
        <f>1309524</f>
        <v>1309524</v>
      </c>
      <c r="J99" s="44">
        <f>654762</f>
        <v>654762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  <c r="U99" s="44">
        <f>0</f>
        <v>0</v>
      </c>
    </row>
    <row r="100" spans="1:22" ht="17.25" customHeight="1">
      <c r="A100" s="38" t="s">
        <v>224</v>
      </c>
      <c r="B100" s="39" t="s">
        <v>225</v>
      </c>
      <c r="C100" s="40">
        <f>1120959.84</f>
        <v>1120959.8400000001</v>
      </c>
      <c r="D100" s="41">
        <f>2233504.87</f>
        <v>2233504.87</v>
      </c>
      <c r="E100" s="41">
        <f>654762</f>
        <v>654762</v>
      </c>
      <c r="F100" s="42">
        <f>654762</f>
        <v>654762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654762</f>
        <v>654762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  <c r="U100" s="44">
        <f>0</f>
        <v>0</v>
      </c>
    </row>
    <row r="101" spans="1:22" ht="28.5" customHeight="1">
      <c r="A101" s="38" t="s">
        <v>226</v>
      </c>
      <c r="B101" s="39" t="s">
        <v>227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  <c r="U101" s="44">
        <f>0</f>
        <v>0</v>
      </c>
    </row>
    <row r="102" spans="1:22" ht="39.75" customHeight="1">
      <c r="A102" s="38" t="s">
        <v>228</v>
      </c>
      <c r="B102" s="39" t="s">
        <v>229</v>
      </c>
      <c r="C102" s="40">
        <f>1120959.84</f>
        <v>1120959.8400000001</v>
      </c>
      <c r="D102" s="41">
        <f>2233504.87</f>
        <v>2233504.87</v>
      </c>
      <c r="E102" s="41">
        <f t="shared" ref="E102:K102" si="14">654762</f>
        <v>654762</v>
      </c>
      <c r="F102" s="42">
        <f t="shared" si="14"/>
        <v>654762</v>
      </c>
      <c r="G102" s="43">
        <f t="shared" si="14"/>
        <v>654762</v>
      </c>
      <c r="H102" s="44">
        <f t="shared" si="14"/>
        <v>654762</v>
      </c>
      <c r="I102" s="44">
        <f t="shared" si="14"/>
        <v>654762</v>
      </c>
      <c r="J102" s="44">
        <f t="shared" si="14"/>
        <v>654762</v>
      </c>
      <c r="K102" s="44">
        <f t="shared" si="14"/>
        <v>654762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  <c r="U102" s="44">
        <f>0</f>
        <v>0</v>
      </c>
    </row>
    <row r="103" spans="1:22" ht="28.5" customHeight="1">
      <c r="A103" s="38" t="s">
        <v>230</v>
      </c>
      <c r="B103" s="39" t="s">
        <v>231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  <c r="U103" s="44">
        <f>0</f>
        <v>0</v>
      </c>
    </row>
    <row r="104" spans="1:22" ht="41.25" customHeight="1">
      <c r="A104" s="59" t="s">
        <v>232</v>
      </c>
      <c r="B104" s="60" t="s">
        <v>233</v>
      </c>
      <c r="C104" s="61">
        <f>-9441.02</f>
        <v>-9441.02</v>
      </c>
      <c r="D104" s="62">
        <f>-71682.92</f>
        <v>-71682.92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  <c r="U104" s="65">
        <f>0</f>
        <v>0</v>
      </c>
    </row>
    <row r="105" spans="1:22" ht="24" hidden="1">
      <c r="A105" s="66">
        <v>15</v>
      </c>
      <c r="B105" s="67" t="s">
        <v>234</v>
      </c>
      <c r="C105" s="68" t="s">
        <v>123</v>
      </c>
      <c r="D105" s="69" t="s">
        <v>123</v>
      </c>
      <c r="E105" s="69" t="s">
        <v>123</v>
      </c>
      <c r="F105" s="70" t="s">
        <v>123</v>
      </c>
      <c r="G105" s="71" t="s">
        <v>123</v>
      </c>
      <c r="H105" s="72" t="s">
        <v>123</v>
      </c>
      <c r="I105" s="72" t="s">
        <v>123</v>
      </c>
      <c r="J105" s="72" t="s">
        <v>123</v>
      </c>
      <c r="K105" s="72" t="s">
        <v>123</v>
      </c>
      <c r="L105" s="72" t="s">
        <v>123</v>
      </c>
      <c r="M105" s="72" t="s">
        <v>123</v>
      </c>
      <c r="N105" s="72" t="s">
        <v>123</v>
      </c>
      <c r="O105" s="72" t="s">
        <v>123</v>
      </c>
      <c r="P105" s="72" t="s">
        <v>123</v>
      </c>
      <c r="Q105" s="72" t="s">
        <v>123</v>
      </c>
      <c r="R105" s="72" t="s">
        <v>123</v>
      </c>
      <c r="S105" s="72" t="s">
        <v>123</v>
      </c>
      <c r="T105" s="72" t="s">
        <v>123</v>
      </c>
      <c r="U105" s="72" t="s">
        <v>123</v>
      </c>
    </row>
    <row r="106" spans="1:22" ht="24" hidden="1">
      <c r="A106" s="73" t="s">
        <v>235</v>
      </c>
      <c r="B106" s="74" t="s">
        <v>236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  <c r="U106" s="79">
        <f>0</f>
        <v>0</v>
      </c>
    </row>
    <row r="107" spans="1:22" ht="24" hidden="1">
      <c r="A107" s="38" t="s">
        <v>237</v>
      </c>
      <c r="B107" s="39" t="s">
        <v>238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  <c r="U107" s="44">
        <f>0</f>
        <v>0</v>
      </c>
    </row>
    <row r="108" spans="1:22" ht="60" hidden="1">
      <c r="A108" s="80" t="s">
        <v>239</v>
      </c>
      <c r="B108" s="81" t="s">
        <v>240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  <c r="U108" s="86">
        <f>0</f>
        <v>0</v>
      </c>
    </row>
    <row r="109" spans="1:22" ht="48" hidden="1">
      <c r="A109" s="87">
        <v>16</v>
      </c>
      <c r="B109" s="88" t="s">
        <v>241</v>
      </c>
      <c r="C109" s="68" t="s">
        <v>123</v>
      </c>
      <c r="D109" s="69" t="s">
        <v>123</v>
      </c>
      <c r="E109" s="69" t="s">
        <v>123</v>
      </c>
      <c r="F109" s="70" t="s">
        <v>123</v>
      </c>
      <c r="G109" s="71" t="s">
        <v>123</v>
      </c>
      <c r="H109" s="71" t="s">
        <v>123</v>
      </c>
      <c r="I109" s="71" t="s">
        <v>123</v>
      </c>
      <c r="J109" s="71" t="s">
        <v>123</v>
      </c>
      <c r="K109" s="71" t="s">
        <v>123</v>
      </c>
      <c r="L109" s="71" t="s">
        <v>123</v>
      </c>
      <c r="M109" s="71" t="s">
        <v>123</v>
      </c>
      <c r="N109" s="71" t="s">
        <v>123</v>
      </c>
      <c r="O109" s="71" t="s">
        <v>123</v>
      </c>
      <c r="P109" s="71" t="s">
        <v>123</v>
      </c>
      <c r="Q109" s="71" t="s">
        <v>123</v>
      </c>
      <c r="R109" s="71" t="s">
        <v>123</v>
      </c>
      <c r="S109" s="71" t="s">
        <v>123</v>
      </c>
      <c r="T109" s="71" t="s">
        <v>123</v>
      </c>
      <c r="U109" s="71" t="s">
        <v>123</v>
      </c>
    </row>
    <row r="110" spans="1:22" ht="36" hidden="1">
      <c r="A110" s="89" t="s">
        <v>242</v>
      </c>
      <c r="B110" s="90" t="s">
        <v>243</v>
      </c>
      <c r="C110" s="91" t="s">
        <v>123</v>
      </c>
      <c r="D110" s="92" t="s">
        <v>123</v>
      </c>
      <c r="E110" s="92" t="s">
        <v>123</v>
      </c>
      <c r="F110" s="93" t="s">
        <v>123</v>
      </c>
      <c r="G110" s="78" t="str">
        <f>+IF(G46&lt;0,G46,"")</f>
        <v/>
      </c>
      <c r="H110" s="78" t="str">
        <f t="shared" ref="H110:U110" si="15">+IF(H46&lt;0,H46,"")</f>
        <v/>
      </c>
      <c r="I110" s="78" t="str">
        <f t="shared" si="15"/>
        <v/>
      </c>
      <c r="J110" s="78" t="str">
        <f t="shared" si="15"/>
        <v/>
      </c>
      <c r="K110" s="78" t="str">
        <f t="shared" si="15"/>
        <v/>
      </c>
      <c r="L110" s="78" t="str">
        <f t="shared" si="15"/>
        <v/>
      </c>
      <c r="M110" s="78" t="str">
        <f t="shared" si="15"/>
        <v/>
      </c>
      <c r="N110" s="78" t="str">
        <f t="shared" si="15"/>
        <v/>
      </c>
      <c r="O110" s="78" t="str">
        <f t="shared" si="15"/>
        <v/>
      </c>
      <c r="P110" s="78" t="str">
        <f t="shared" si="15"/>
        <v/>
      </c>
      <c r="Q110" s="78" t="str">
        <f t="shared" si="15"/>
        <v/>
      </c>
      <c r="R110" s="78" t="str">
        <f t="shared" si="15"/>
        <v/>
      </c>
      <c r="S110" s="78" t="str">
        <f t="shared" si="15"/>
        <v/>
      </c>
      <c r="T110" s="78" t="str">
        <f t="shared" si="15"/>
        <v/>
      </c>
      <c r="U110" s="78" t="str">
        <f t="shared" si="15"/>
        <v/>
      </c>
    </row>
    <row r="111" spans="1:22" ht="36" hidden="1">
      <c r="A111" s="94" t="s">
        <v>244</v>
      </c>
      <c r="B111" s="95" t="s">
        <v>245</v>
      </c>
      <c r="C111" s="96" t="s">
        <v>123</v>
      </c>
      <c r="D111" s="97" t="s">
        <v>123</v>
      </c>
      <c r="E111" s="97" t="s">
        <v>123</v>
      </c>
      <c r="F111" s="98" t="s">
        <v>123</v>
      </c>
      <c r="G111" s="99" t="str">
        <f>IF(G51&lt;=G53,"",G53- G51)</f>
        <v/>
      </c>
      <c r="H111" s="99" t="str">
        <f t="shared" ref="H111:U111" si="16">IF(H51&lt;=H53,"",H53- H51)</f>
        <v/>
      </c>
      <c r="I111" s="99" t="str">
        <f t="shared" si="16"/>
        <v/>
      </c>
      <c r="J111" s="99" t="str">
        <f t="shared" si="16"/>
        <v/>
      </c>
      <c r="K111" s="99" t="str">
        <f t="shared" si="16"/>
        <v/>
      </c>
      <c r="L111" s="99" t="str">
        <f t="shared" si="16"/>
        <v/>
      </c>
      <c r="M111" s="99" t="str">
        <f t="shared" si="16"/>
        <v/>
      </c>
      <c r="N111" s="99" t="str">
        <f t="shared" si="16"/>
        <v/>
      </c>
      <c r="O111" s="99" t="str">
        <f t="shared" si="16"/>
        <v/>
      </c>
      <c r="P111" s="99" t="str">
        <f t="shared" si="16"/>
        <v/>
      </c>
      <c r="Q111" s="99" t="str">
        <f t="shared" si="16"/>
        <v/>
      </c>
      <c r="R111" s="99" t="str">
        <f t="shared" si="16"/>
        <v/>
      </c>
      <c r="S111" s="99" t="str">
        <f t="shared" si="16"/>
        <v/>
      </c>
      <c r="T111" s="99" t="str">
        <f t="shared" si="16"/>
        <v/>
      </c>
      <c r="U111" s="99" t="str">
        <f t="shared" si="16"/>
        <v/>
      </c>
    </row>
    <row r="112" spans="1:22" ht="36" hidden="1">
      <c r="A112" s="100" t="s">
        <v>246</v>
      </c>
      <c r="B112" s="101" t="s">
        <v>247</v>
      </c>
      <c r="C112" s="102" t="s">
        <v>123</v>
      </c>
      <c r="D112" s="103" t="s">
        <v>123</v>
      </c>
      <c r="E112" s="103" t="s">
        <v>123</v>
      </c>
      <c r="F112" s="104" t="s">
        <v>123</v>
      </c>
      <c r="G112" s="105" t="str">
        <f>IF(G51&lt;=G54,"",G54-G51)</f>
        <v/>
      </c>
      <c r="H112" s="105" t="str">
        <f t="shared" ref="H112:U112" si="17">IF(H51&lt;=H54,"",H54-H51)</f>
        <v/>
      </c>
      <c r="I112" s="105" t="str">
        <f t="shared" si="17"/>
        <v/>
      </c>
      <c r="J112" s="105" t="str">
        <f t="shared" si="17"/>
        <v/>
      </c>
      <c r="K112" s="105" t="str">
        <f t="shared" si="17"/>
        <v/>
      </c>
      <c r="L112" s="105" t="str">
        <f t="shared" si="17"/>
        <v/>
      </c>
      <c r="M112" s="105" t="str">
        <f t="shared" si="17"/>
        <v/>
      </c>
      <c r="N112" s="105" t="str">
        <f t="shared" si="17"/>
        <v/>
      </c>
      <c r="O112" s="105" t="str">
        <f t="shared" si="17"/>
        <v/>
      </c>
      <c r="P112" s="105" t="str">
        <f t="shared" si="17"/>
        <v/>
      </c>
      <c r="Q112" s="105" t="str">
        <f t="shared" si="17"/>
        <v/>
      </c>
      <c r="R112" s="105" t="str">
        <f t="shared" si="17"/>
        <v/>
      </c>
      <c r="S112" s="105" t="str">
        <f t="shared" si="17"/>
        <v/>
      </c>
      <c r="T112" s="105" t="str">
        <f t="shared" si="17"/>
        <v/>
      </c>
      <c r="U112" s="105" t="str">
        <f t="shared" si="17"/>
        <v/>
      </c>
    </row>
    <row r="113" spans="1:2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</sheetData>
  <sheetProtection algorithmName="SHA-512" hashValue="BuzwIrucAvosEUHvl+zYVdjeTsjZKGKlRdSyLmtN4LHF/8m7EX+T2w1hWzn6/f10BZ3WczSBkBeukWLlslunxA==" saltValue="XSn4u9a/DwtHZBD5nPW6wA==" spinCount="100000" sheet="1" objects="1" scenarios="1" formatColumns="0" formatRows="0" autoFilter="0"/>
  <mergeCells count="2">
    <mergeCell ref="C2:D2"/>
    <mergeCell ref="A1:U1"/>
  </mergeCells>
  <conditionalFormatting sqref="G55:U56">
    <cfRule type="expression" dxfId="0" priority="12" stopIfTrue="1">
      <formula>LEFT(G55,3)="Nie"</formula>
    </cfRule>
  </conditionalFormatting>
  <pageMargins left="0.15748031496062992" right="0.15748031496062992" top="1.3385826771653544" bottom="1.2598425196850394" header="0.78740157480314965" footer="0.35433070866141736"/>
  <pageSetup paperSize="9" scale="56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20" zoomScaleNormal="120" workbookViewId="0">
      <pane ySplit="4" topLeftCell="A5" activePane="bottomLeft" state="frozen"/>
      <selection pane="bottomLeft" activeCell="P12" sqref="P12"/>
    </sheetView>
  </sheetViews>
  <sheetFormatPr defaultRowHeight="12.75"/>
  <cols>
    <col min="1" max="1" width="7.85546875" style="2" customWidth="1"/>
    <col min="2" max="2" width="51.5703125" style="1" customWidth="1"/>
    <col min="3" max="3" width="16.140625" style="2" customWidth="1"/>
    <col min="4" max="5" width="6.5703125" style="2" customWidth="1"/>
    <col min="6" max="6" width="13.28515625" style="1" customWidth="1"/>
    <col min="7" max="11" width="12.140625" style="1" customWidth="1"/>
    <col min="12" max="12" width="13" style="1" customWidth="1"/>
    <col min="13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4" s="17" customFormat="1" ht="22.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12.75" customHeight="1"/>
    <row r="3" spans="1:14" ht="31.5" customHeight="1">
      <c r="A3" s="124" t="s">
        <v>1</v>
      </c>
      <c r="B3" s="124" t="s">
        <v>2</v>
      </c>
      <c r="C3" s="124" t="s">
        <v>3</v>
      </c>
      <c r="D3" s="124" t="s">
        <v>4</v>
      </c>
      <c r="E3" s="124"/>
      <c r="F3" s="124" t="s">
        <v>5</v>
      </c>
      <c r="G3" s="125" t="s">
        <v>33</v>
      </c>
      <c r="H3" s="126"/>
      <c r="I3" s="126"/>
      <c r="J3" s="126"/>
      <c r="K3" s="127"/>
      <c r="L3" s="124" t="s">
        <v>6</v>
      </c>
    </row>
    <row r="4" spans="1:14" s="2" customFormat="1" ht="23.25" customHeight="1">
      <c r="A4" s="124"/>
      <c r="B4" s="124"/>
      <c r="C4" s="124"/>
      <c r="D4" s="3" t="s">
        <v>7</v>
      </c>
      <c r="E4" s="3" t="s">
        <v>8</v>
      </c>
      <c r="F4" s="124"/>
      <c r="G4" s="4">
        <v>2017</v>
      </c>
      <c r="H4" s="4">
        <v>2018</v>
      </c>
      <c r="I4" s="4">
        <v>2019</v>
      </c>
      <c r="J4" s="4">
        <v>2020</v>
      </c>
      <c r="K4" s="109">
        <v>2021</v>
      </c>
      <c r="L4" s="124"/>
    </row>
    <row r="5" spans="1:14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4" s="7" customFormat="1" ht="18.75" customHeight="1">
      <c r="A6" s="5" t="s">
        <v>9</v>
      </c>
      <c r="B6" s="122" t="s">
        <v>10</v>
      </c>
      <c r="C6" s="122"/>
      <c r="D6" s="122"/>
      <c r="E6" s="122"/>
      <c r="F6" s="6">
        <f t="shared" ref="F6:K7" si="0">SUM(F9,F18,F21)</f>
        <v>51947715</v>
      </c>
      <c r="G6" s="6">
        <f t="shared" si="0"/>
        <v>12715679</v>
      </c>
      <c r="H6" s="6">
        <f t="shared" si="0"/>
        <v>16317505</v>
      </c>
      <c r="I6" s="6">
        <f t="shared" si="0"/>
        <v>12980000</v>
      </c>
      <c r="J6" s="6">
        <f t="shared" si="0"/>
        <v>1700000</v>
      </c>
      <c r="K6" s="6">
        <f t="shared" si="0"/>
        <v>200000</v>
      </c>
      <c r="L6" s="6">
        <f t="shared" ref="L6:L7" si="1">SUM(G6:K6)</f>
        <v>43913184</v>
      </c>
    </row>
    <row r="7" spans="1:14" s="7" customFormat="1" ht="18.75" customHeight="1">
      <c r="A7" s="5" t="s">
        <v>11</v>
      </c>
      <c r="B7" s="122" t="s">
        <v>12</v>
      </c>
      <c r="C7" s="122"/>
      <c r="D7" s="122"/>
      <c r="E7" s="122"/>
      <c r="F7" s="6">
        <f t="shared" si="0"/>
        <v>2464794</v>
      </c>
      <c r="G7" s="6">
        <f t="shared" si="0"/>
        <v>1326781</v>
      </c>
      <c r="H7" s="6">
        <f t="shared" si="0"/>
        <v>432169</v>
      </c>
      <c r="I7" s="6">
        <f t="shared" si="0"/>
        <v>80000</v>
      </c>
      <c r="J7" s="6">
        <f t="shared" si="0"/>
        <v>0</v>
      </c>
      <c r="K7" s="6">
        <f t="shared" si="0"/>
        <v>0</v>
      </c>
      <c r="L7" s="6">
        <f t="shared" si="1"/>
        <v>1838950</v>
      </c>
    </row>
    <row r="8" spans="1:14" s="7" customFormat="1" ht="18.75" customHeight="1">
      <c r="A8" s="5" t="s">
        <v>13</v>
      </c>
      <c r="B8" s="122" t="s">
        <v>14</v>
      </c>
      <c r="C8" s="122"/>
      <c r="D8" s="122"/>
      <c r="E8" s="122"/>
      <c r="F8" s="6">
        <f t="shared" ref="F8:K8" si="2">SUM(F15,F20,F24)</f>
        <v>49482921</v>
      </c>
      <c r="G8" s="6">
        <f t="shared" si="2"/>
        <v>11388898</v>
      </c>
      <c r="H8" s="6">
        <f t="shared" si="2"/>
        <v>15885336</v>
      </c>
      <c r="I8" s="6">
        <f t="shared" si="2"/>
        <v>12900000</v>
      </c>
      <c r="J8" s="6">
        <f t="shared" si="2"/>
        <v>1700000</v>
      </c>
      <c r="K8" s="6">
        <f t="shared" si="2"/>
        <v>200000</v>
      </c>
      <c r="L8" s="6">
        <f t="shared" ref="L8:L20" si="3">SUM(G8:K8)</f>
        <v>42074234</v>
      </c>
    </row>
    <row r="9" spans="1:14" s="9" customFormat="1" ht="48.75" customHeight="1">
      <c r="A9" s="5" t="s">
        <v>15</v>
      </c>
      <c r="B9" s="122" t="s">
        <v>271</v>
      </c>
      <c r="C9" s="122"/>
      <c r="D9" s="122"/>
      <c r="E9" s="122"/>
      <c r="F9" s="8">
        <f t="shared" ref="F9:K9" si="4">SUM(F10,F15)</f>
        <v>3507649</v>
      </c>
      <c r="G9" s="8">
        <f t="shared" si="4"/>
        <v>2345679</v>
      </c>
      <c r="H9" s="8">
        <f t="shared" si="4"/>
        <v>467505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3"/>
        <v>2813184</v>
      </c>
    </row>
    <row r="10" spans="1:14" s="7" customFormat="1" ht="18.75" customHeight="1">
      <c r="A10" s="5" t="s">
        <v>16</v>
      </c>
      <c r="B10" s="122" t="s">
        <v>12</v>
      </c>
      <c r="C10" s="122"/>
      <c r="D10" s="122"/>
      <c r="E10" s="122"/>
      <c r="F10" s="6">
        <f>SUM(F11:F14)</f>
        <v>2224794</v>
      </c>
      <c r="G10" s="6">
        <f t="shared" ref="G10:L10" si="5">SUM(G11:G14)</f>
        <v>1246781</v>
      </c>
      <c r="H10" s="6">
        <f t="shared" si="5"/>
        <v>352169</v>
      </c>
      <c r="I10" s="6">
        <f t="shared" si="5"/>
        <v>0</v>
      </c>
      <c r="J10" s="6">
        <f t="shared" si="5"/>
        <v>0</v>
      </c>
      <c r="K10" s="6">
        <f t="shared" si="5"/>
        <v>0</v>
      </c>
      <c r="L10" s="6">
        <f t="shared" si="5"/>
        <v>1598950</v>
      </c>
    </row>
    <row r="11" spans="1:14" s="119" customFormat="1" ht="43.5" customHeight="1">
      <c r="A11" s="114" t="s">
        <v>38</v>
      </c>
      <c r="B11" s="115" t="s">
        <v>249</v>
      </c>
      <c r="C11" s="116" t="s">
        <v>18</v>
      </c>
      <c r="D11" s="117">
        <v>2016</v>
      </c>
      <c r="E11" s="117">
        <v>2017</v>
      </c>
      <c r="F11" s="118">
        <v>782308</v>
      </c>
      <c r="G11" s="118">
        <v>156464</v>
      </c>
      <c r="H11" s="118"/>
      <c r="I11" s="118"/>
      <c r="J11" s="118"/>
      <c r="K11" s="118"/>
      <c r="L11" s="118">
        <f t="shared" si="3"/>
        <v>156464</v>
      </c>
    </row>
    <row r="12" spans="1:14" s="15" customFormat="1" ht="43.5" customHeight="1">
      <c r="A12" s="10" t="s">
        <v>258</v>
      </c>
      <c r="B12" s="11" t="s">
        <v>259</v>
      </c>
      <c r="C12" s="12" t="s">
        <v>260</v>
      </c>
      <c r="D12" s="13">
        <v>2017</v>
      </c>
      <c r="E12" s="13">
        <v>2018</v>
      </c>
      <c r="F12" s="14">
        <v>571446</v>
      </c>
      <c r="G12" s="14">
        <v>393486</v>
      </c>
      <c r="H12" s="14">
        <v>177960</v>
      </c>
      <c r="I12" s="14"/>
      <c r="J12" s="14"/>
      <c r="K12" s="14"/>
      <c r="L12" s="14">
        <f t="shared" ref="L12" si="6">SUM(G12:K12)</f>
        <v>571446</v>
      </c>
    </row>
    <row r="13" spans="1:14" s="15" customFormat="1" ht="43.5" customHeight="1">
      <c r="A13" s="10" t="s">
        <v>267</v>
      </c>
      <c r="B13" s="11" t="s">
        <v>268</v>
      </c>
      <c r="C13" s="12" t="s">
        <v>18</v>
      </c>
      <c r="D13" s="13">
        <v>2017</v>
      </c>
      <c r="E13" s="13">
        <v>2018</v>
      </c>
      <c r="F13" s="14">
        <v>837938</v>
      </c>
      <c r="G13" s="14">
        <v>670350</v>
      </c>
      <c r="H13" s="14">
        <v>167588</v>
      </c>
      <c r="I13" s="14"/>
      <c r="J13" s="14"/>
      <c r="K13" s="14"/>
      <c r="L13" s="14">
        <f t="shared" ref="L13" si="7">SUM(G13:K13)</f>
        <v>837938</v>
      </c>
    </row>
    <row r="14" spans="1:14" s="119" customFormat="1" ht="18.75" customHeight="1">
      <c r="A14" s="114" t="s">
        <v>272</v>
      </c>
      <c r="B14" s="115" t="s">
        <v>273</v>
      </c>
      <c r="C14" s="116" t="s">
        <v>274</v>
      </c>
      <c r="D14" s="117">
        <v>2017</v>
      </c>
      <c r="E14" s="117">
        <v>2018</v>
      </c>
      <c r="F14" s="118">
        <v>33102</v>
      </c>
      <c r="G14" s="118">
        <v>26481</v>
      </c>
      <c r="H14" s="118">
        <v>6621</v>
      </c>
      <c r="I14" s="118"/>
      <c r="J14" s="118"/>
      <c r="K14" s="118"/>
      <c r="L14" s="118">
        <f t="shared" ref="L14" si="8">SUM(G14:K14)</f>
        <v>33102</v>
      </c>
    </row>
    <row r="15" spans="1:14" s="7" customFormat="1" ht="18.75" customHeight="1">
      <c r="A15" s="5" t="s">
        <v>19</v>
      </c>
      <c r="B15" s="122" t="s">
        <v>14</v>
      </c>
      <c r="C15" s="122"/>
      <c r="D15" s="122"/>
      <c r="E15" s="122"/>
      <c r="F15" s="6">
        <f>SUM(F16:F17)</f>
        <v>1282855</v>
      </c>
      <c r="G15" s="6">
        <f t="shared" ref="G15:L15" si="9">SUM(G16:G17)</f>
        <v>1098898</v>
      </c>
      <c r="H15" s="6">
        <f t="shared" si="9"/>
        <v>115336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1214234</v>
      </c>
      <c r="M15" s="16"/>
      <c r="N15" s="16"/>
    </row>
    <row r="16" spans="1:14" s="15" customFormat="1" ht="48.75" customHeight="1">
      <c r="A16" s="10" t="s">
        <v>39</v>
      </c>
      <c r="B16" s="11" t="s">
        <v>20</v>
      </c>
      <c r="C16" s="12" t="s">
        <v>17</v>
      </c>
      <c r="D16" s="13">
        <v>2016</v>
      </c>
      <c r="E16" s="13">
        <v>2018</v>
      </c>
      <c r="F16" s="14">
        <v>292494</v>
      </c>
      <c r="G16" s="14">
        <v>120137</v>
      </c>
      <c r="H16" s="14">
        <v>115336</v>
      </c>
      <c r="I16" s="14"/>
      <c r="J16" s="14"/>
      <c r="K16" s="14"/>
      <c r="L16" s="14">
        <f t="shared" si="3"/>
        <v>235473</v>
      </c>
    </row>
    <row r="17" spans="1:12" s="15" customFormat="1" ht="50.25" customHeight="1">
      <c r="A17" s="10" t="s">
        <v>250</v>
      </c>
      <c r="B17" s="11" t="s">
        <v>251</v>
      </c>
      <c r="C17" s="12" t="s">
        <v>17</v>
      </c>
      <c r="D17" s="13">
        <v>2016</v>
      </c>
      <c r="E17" s="13">
        <v>2017</v>
      </c>
      <c r="F17" s="14">
        <v>990361</v>
      </c>
      <c r="G17" s="14">
        <v>978761</v>
      </c>
      <c r="H17" s="14"/>
      <c r="I17" s="14"/>
      <c r="J17" s="14"/>
      <c r="K17" s="14"/>
      <c r="L17" s="14">
        <f t="shared" si="3"/>
        <v>978761</v>
      </c>
    </row>
    <row r="18" spans="1:12" s="9" customFormat="1" ht="34.5" customHeight="1">
      <c r="A18" s="5" t="s">
        <v>21</v>
      </c>
      <c r="B18" s="122" t="s">
        <v>22</v>
      </c>
      <c r="C18" s="122"/>
      <c r="D18" s="122"/>
      <c r="E18" s="122"/>
      <c r="F18" s="8">
        <f t="shared" ref="F18:K18" si="10">SUM(F19:F20)</f>
        <v>0</v>
      </c>
      <c r="G18" s="8">
        <f t="shared" si="10"/>
        <v>0</v>
      </c>
      <c r="H18" s="8">
        <f t="shared" si="10"/>
        <v>0</v>
      </c>
      <c r="I18" s="8">
        <f t="shared" si="10"/>
        <v>0</v>
      </c>
      <c r="J18" s="8">
        <f t="shared" si="10"/>
        <v>0</v>
      </c>
      <c r="K18" s="8">
        <f t="shared" si="10"/>
        <v>0</v>
      </c>
      <c r="L18" s="8">
        <f t="shared" si="3"/>
        <v>0</v>
      </c>
    </row>
    <row r="19" spans="1:12" s="9" customFormat="1" ht="18.75" customHeight="1">
      <c r="A19" s="5" t="s">
        <v>261</v>
      </c>
      <c r="B19" s="122" t="s">
        <v>12</v>
      </c>
      <c r="C19" s="122"/>
      <c r="D19" s="122"/>
      <c r="E19" s="122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f t="shared" si="3"/>
        <v>0</v>
      </c>
    </row>
    <row r="20" spans="1:12" s="9" customFormat="1" ht="18.75" customHeight="1">
      <c r="A20" s="5" t="s">
        <v>262</v>
      </c>
      <c r="B20" s="122" t="s">
        <v>14</v>
      </c>
      <c r="C20" s="122"/>
      <c r="D20" s="122"/>
      <c r="E20" s="122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 t="shared" si="3"/>
        <v>0</v>
      </c>
    </row>
    <row r="21" spans="1:12" s="9" customFormat="1" ht="18.75" customHeight="1">
      <c r="A21" s="5" t="s">
        <v>25</v>
      </c>
      <c r="B21" s="122" t="s">
        <v>26</v>
      </c>
      <c r="C21" s="122"/>
      <c r="D21" s="122"/>
      <c r="E21" s="122"/>
      <c r="F21" s="8">
        <f>SUM(F22,F24)</f>
        <v>48440066</v>
      </c>
      <c r="G21" s="8">
        <f t="shared" ref="G21:L21" si="11">SUM(G22,G24)</f>
        <v>10370000</v>
      </c>
      <c r="H21" s="8">
        <f t="shared" si="11"/>
        <v>15850000</v>
      </c>
      <c r="I21" s="8">
        <f t="shared" si="11"/>
        <v>12980000</v>
      </c>
      <c r="J21" s="8">
        <f t="shared" si="11"/>
        <v>1700000</v>
      </c>
      <c r="K21" s="8">
        <f t="shared" si="11"/>
        <v>200000</v>
      </c>
      <c r="L21" s="8">
        <f t="shared" si="11"/>
        <v>41100000</v>
      </c>
    </row>
    <row r="22" spans="1:12" s="9" customFormat="1" ht="18.75" customHeight="1">
      <c r="A22" s="5" t="s">
        <v>27</v>
      </c>
      <c r="B22" s="122" t="s">
        <v>12</v>
      </c>
      <c r="C22" s="122"/>
      <c r="D22" s="122"/>
      <c r="E22" s="122"/>
      <c r="F22" s="8">
        <f>SUM(F23)</f>
        <v>240000</v>
      </c>
      <c r="G22" s="8">
        <f t="shared" ref="G22:L22" si="12">SUM(G23)</f>
        <v>80000</v>
      </c>
      <c r="H22" s="8">
        <f t="shared" si="12"/>
        <v>80000</v>
      </c>
      <c r="I22" s="8">
        <f t="shared" si="12"/>
        <v>80000</v>
      </c>
      <c r="J22" s="8">
        <f t="shared" si="12"/>
        <v>0</v>
      </c>
      <c r="K22" s="8">
        <f t="shared" si="12"/>
        <v>0</v>
      </c>
      <c r="L22" s="8">
        <f t="shared" si="12"/>
        <v>240000</v>
      </c>
    </row>
    <row r="23" spans="1:12" s="15" customFormat="1" ht="35.25" customHeight="1">
      <c r="A23" s="10" t="s">
        <v>270</v>
      </c>
      <c r="B23" s="11" t="s">
        <v>269</v>
      </c>
      <c r="C23" s="12" t="s">
        <v>17</v>
      </c>
      <c r="D23" s="13">
        <v>2017</v>
      </c>
      <c r="E23" s="13">
        <v>2019</v>
      </c>
      <c r="F23" s="14">
        <v>240000</v>
      </c>
      <c r="G23" s="14">
        <v>80000</v>
      </c>
      <c r="H23" s="14">
        <v>80000</v>
      </c>
      <c r="I23" s="14">
        <v>80000</v>
      </c>
      <c r="J23" s="14"/>
      <c r="K23" s="14"/>
      <c r="L23" s="14">
        <f>SUM(G23:K23)</f>
        <v>240000</v>
      </c>
    </row>
    <row r="24" spans="1:12" s="9" customFormat="1" ht="18.75" customHeight="1">
      <c r="A24" s="5" t="s">
        <v>28</v>
      </c>
      <c r="B24" s="122" t="s">
        <v>14</v>
      </c>
      <c r="C24" s="122"/>
      <c r="D24" s="122"/>
      <c r="E24" s="122"/>
      <c r="F24" s="8">
        <f>SUM(F25:F38)</f>
        <v>48200066</v>
      </c>
      <c r="G24" s="8">
        <f t="shared" ref="G24:L24" si="13">SUM(G25:G38)</f>
        <v>10290000</v>
      </c>
      <c r="H24" s="8">
        <f t="shared" si="13"/>
        <v>15770000</v>
      </c>
      <c r="I24" s="8">
        <f t="shared" si="13"/>
        <v>12900000</v>
      </c>
      <c r="J24" s="8">
        <f t="shared" si="13"/>
        <v>1700000</v>
      </c>
      <c r="K24" s="8">
        <f t="shared" si="13"/>
        <v>200000</v>
      </c>
      <c r="L24" s="8">
        <f t="shared" si="13"/>
        <v>40860000</v>
      </c>
    </row>
    <row r="25" spans="1:12" s="15" customFormat="1" ht="35.25" customHeight="1">
      <c r="A25" s="10" t="s">
        <v>29</v>
      </c>
      <c r="B25" s="11" t="s">
        <v>30</v>
      </c>
      <c r="C25" s="12" t="s">
        <v>31</v>
      </c>
      <c r="D25" s="13">
        <v>2014</v>
      </c>
      <c r="E25" s="13">
        <v>2018</v>
      </c>
      <c r="F25" s="14">
        <v>744637</v>
      </c>
      <c r="G25" s="14">
        <v>150000</v>
      </c>
      <c r="H25" s="14">
        <v>150000</v>
      </c>
      <c r="I25" s="14"/>
      <c r="J25" s="14"/>
      <c r="K25" s="14"/>
      <c r="L25" s="14">
        <f>SUM(G25:K25)</f>
        <v>300000</v>
      </c>
    </row>
    <row r="26" spans="1:12" s="15" customFormat="1" ht="36.75" customHeight="1">
      <c r="A26" s="10" t="s">
        <v>40</v>
      </c>
      <c r="B26" s="11" t="s">
        <v>36</v>
      </c>
      <c r="C26" s="12" t="s">
        <v>31</v>
      </c>
      <c r="D26" s="13">
        <v>2016</v>
      </c>
      <c r="E26" s="13">
        <v>2020</v>
      </c>
      <c r="F26" s="14">
        <v>4582700</v>
      </c>
      <c r="G26" s="14">
        <v>0</v>
      </c>
      <c r="H26" s="14">
        <v>1500000</v>
      </c>
      <c r="I26" s="14">
        <v>1500000</v>
      </c>
      <c r="J26" s="14">
        <v>1500000</v>
      </c>
      <c r="K26" s="14"/>
      <c r="L26" s="14">
        <f t="shared" ref="L26:L37" si="14">SUM(G26:K26)</f>
        <v>4500000</v>
      </c>
    </row>
    <row r="27" spans="1:12" s="15" customFormat="1" ht="49.5" customHeight="1">
      <c r="A27" s="10" t="s">
        <v>41</v>
      </c>
      <c r="B27" s="11" t="s">
        <v>266</v>
      </c>
      <c r="C27" s="12" t="s">
        <v>31</v>
      </c>
      <c r="D27" s="13">
        <v>2016</v>
      </c>
      <c r="E27" s="13">
        <v>2018</v>
      </c>
      <c r="F27" s="14">
        <v>650000</v>
      </c>
      <c r="G27" s="14">
        <v>300000</v>
      </c>
      <c r="H27" s="14">
        <v>300000</v>
      </c>
      <c r="I27" s="14"/>
      <c r="J27" s="14"/>
      <c r="K27" s="14"/>
      <c r="L27" s="14">
        <f t="shared" si="14"/>
        <v>600000</v>
      </c>
    </row>
    <row r="28" spans="1:12" s="15" customFormat="1" ht="35.25" customHeight="1">
      <c r="A28" s="10" t="s">
        <v>42</v>
      </c>
      <c r="B28" s="11" t="s">
        <v>37</v>
      </c>
      <c r="C28" s="12" t="s">
        <v>31</v>
      </c>
      <c r="D28" s="13">
        <v>2015</v>
      </c>
      <c r="E28" s="13">
        <v>2018</v>
      </c>
      <c r="F28" s="14">
        <v>750000</v>
      </c>
      <c r="G28" s="14">
        <v>200000</v>
      </c>
      <c r="H28" s="14">
        <v>150000</v>
      </c>
      <c r="I28" s="14"/>
      <c r="J28" s="14"/>
      <c r="K28" s="14"/>
      <c r="L28" s="14">
        <f t="shared" si="14"/>
        <v>350000</v>
      </c>
    </row>
    <row r="29" spans="1:12" s="15" customFormat="1" ht="51" customHeight="1">
      <c r="A29" s="10" t="s">
        <v>43</v>
      </c>
      <c r="B29" s="11" t="s">
        <v>32</v>
      </c>
      <c r="C29" s="12" t="s">
        <v>17</v>
      </c>
      <c r="D29" s="13">
        <v>2011</v>
      </c>
      <c r="E29" s="13">
        <v>2018</v>
      </c>
      <c r="F29" s="14">
        <v>1100269</v>
      </c>
      <c r="G29" s="14">
        <v>300000</v>
      </c>
      <c r="H29" s="14">
        <v>500000</v>
      </c>
      <c r="I29" s="14"/>
      <c r="J29" s="14"/>
      <c r="K29" s="14"/>
      <c r="L29" s="14">
        <f t="shared" si="14"/>
        <v>800000</v>
      </c>
    </row>
    <row r="30" spans="1:12" s="15" customFormat="1" ht="37.5" customHeight="1">
      <c r="A30" s="10" t="s">
        <v>44</v>
      </c>
      <c r="B30" s="11" t="s">
        <v>34</v>
      </c>
      <c r="C30" s="12" t="s">
        <v>31</v>
      </c>
      <c r="D30" s="13">
        <v>2014</v>
      </c>
      <c r="E30" s="13">
        <v>2017</v>
      </c>
      <c r="F30" s="14">
        <v>6412828</v>
      </c>
      <c r="G30" s="14">
        <v>2000000</v>
      </c>
      <c r="H30" s="14"/>
      <c r="I30" s="14"/>
      <c r="J30" s="14"/>
      <c r="K30" s="14"/>
      <c r="L30" s="14">
        <f t="shared" si="14"/>
        <v>2000000</v>
      </c>
    </row>
    <row r="31" spans="1:12" s="15" customFormat="1" ht="34.5" customHeight="1">
      <c r="A31" s="10" t="s">
        <v>45</v>
      </c>
      <c r="B31" s="11" t="s">
        <v>263</v>
      </c>
      <c r="C31" s="12" t="s">
        <v>31</v>
      </c>
      <c r="D31" s="13">
        <v>2016</v>
      </c>
      <c r="E31" s="13">
        <v>2017</v>
      </c>
      <c r="F31" s="14">
        <v>250000</v>
      </c>
      <c r="G31" s="14">
        <v>200000</v>
      </c>
      <c r="H31" s="14"/>
      <c r="I31" s="14"/>
      <c r="J31" s="14"/>
      <c r="K31" s="14"/>
      <c r="L31" s="14">
        <f t="shared" si="14"/>
        <v>200000</v>
      </c>
    </row>
    <row r="32" spans="1:12" s="15" customFormat="1" ht="68.25" customHeight="1">
      <c r="A32" s="10" t="s">
        <v>46</v>
      </c>
      <c r="B32" s="11" t="s">
        <v>35</v>
      </c>
      <c r="C32" s="12" t="s">
        <v>31</v>
      </c>
      <c r="D32" s="13">
        <v>2011</v>
      </c>
      <c r="E32" s="13">
        <v>2019</v>
      </c>
      <c r="F32" s="14">
        <v>30819632</v>
      </c>
      <c r="G32" s="14">
        <v>6300000</v>
      </c>
      <c r="H32" s="14">
        <v>12000000</v>
      </c>
      <c r="I32" s="14">
        <v>11000000</v>
      </c>
      <c r="J32" s="14"/>
      <c r="K32" s="14"/>
      <c r="L32" s="14">
        <f t="shared" si="14"/>
        <v>29300000</v>
      </c>
    </row>
    <row r="33" spans="1:12" ht="31.5" customHeight="1">
      <c r="A33" s="10" t="s">
        <v>47</v>
      </c>
      <c r="B33" s="11" t="s">
        <v>253</v>
      </c>
      <c r="C33" s="12" t="s">
        <v>31</v>
      </c>
      <c r="D33" s="13">
        <v>2016</v>
      </c>
      <c r="E33" s="13">
        <v>2018</v>
      </c>
      <c r="F33" s="14">
        <v>240000</v>
      </c>
      <c r="G33" s="14">
        <v>80000</v>
      </c>
      <c r="H33" s="14">
        <v>80000</v>
      </c>
      <c r="I33" s="14"/>
      <c r="J33" s="14"/>
      <c r="K33" s="14"/>
      <c r="L33" s="14">
        <f t="shared" si="14"/>
        <v>160000</v>
      </c>
    </row>
    <row r="34" spans="1:12" ht="46.5" customHeight="1">
      <c r="A34" s="10" t="s">
        <v>48</v>
      </c>
      <c r="B34" s="11" t="s">
        <v>254</v>
      </c>
      <c r="C34" s="12" t="s">
        <v>31</v>
      </c>
      <c r="D34" s="13">
        <v>2017</v>
      </c>
      <c r="E34" s="13">
        <v>2018</v>
      </c>
      <c r="F34" s="14">
        <v>200000</v>
      </c>
      <c r="G34" s="14">
        <v>40000</v>
      </c>
      <c r="H34" s="14">
        <v>160000</v>
      </c>
      <c r="I34" s="14"/>
      <c r="J34" s="14"/>
      <c r="K34" s="14"/>
      <c r="L34" s="14">
        <f t="shared" si="14"/>
        <v>200000</v>
      </c>
    </row>
    <row r="35" spans="1:12" ht="48.75" customHeight="1">
      <c r="A35" s="10" t="s">
        <v>49</v>
      </c>
      <c r="B35" s="11" t="s">
        <v>255</v>
      </c>
      <c r="C35" s="12" t="s">
        <v>31</v>
      </c>
      <c r="D35" s="13">
        <v>2017</v>
      </c>
      <c r="E35" s="13">
        <v>2018</v>
      </c>
      <c r="F35" s="14">
        <v>600000</v>
      </c>
      <c r="G35" s="14">
        <v>70000</v>
      </c>
      <c r="H35" s="14">
        <v>530000</v>
      </c>
      <c r="I35" s="14"/>
      <c r="J35" s="14"/>
      <c r="K35" s="14"/>
      <c r="L35" s="14">
        <f t="shared" si="14"/>
        <v>600000</v>
      </c>
    </row>
    <row r="36" spans="1:12" ht="33.75" customHeight="1">
      <c r="A36" s="10" t="s">
        <v>50</v>
      </c>
      <c r="B36" s="11" t="s">
        <v>256</v>
      </c>
      <c r="C36" s="12" t="s">
        <v>31</v>
      </c>
      <c r="D36" s="13">
        <v>2017</v>
      </c>
      <c r="E36" s="13">
        <v>2019</v>
      </c>
      <c r="F36" s="14">
        <v>300000</v>
      </c>
      <c r="G36" s="14">
        <v>100000</v>
      </c>
      <c r="H36" s="14">
        <v>100000</v>
      </c>
      <c r="I36" s="14">
        <v>100000</v>
      </c>
      <c r="J36" s="14"/>
      <c r="K36" s="14"/>
      <c r="L36" s="14">
        <f t="shared" si="14"/>
        <v>300000</v>
      </c>
    </row>
    <row r="37" spans="1:12" ht="34.5" customHeight="1">
      <c r="A37" s="10" t="s">
        <v>252</v>
      </c>
      <c r="B37" s="11" t="s">
        <v>257</v>
      </c>
      <c r="C37" s="12" t="s">
        <v>31</v>
      </c>
      <c r="D37" s="13">
        <v>2017</v>
      </c>
      <c r="E37" s="13">
        <v>2021</v>
      </c>
      <c r="F37" s="14">
        <v>1250000</v>
      </c>
      <c r="G37" s="14">
        <v>450000</v>
      </c>
      <c r="H37" s="14">
        <v>200000</v>
      </c>
      <c r="I37" s="14">
        <v>200000</v>
      </c>
      <c r="J37" s="14">
        <v>200000</v>
      </c>
      <c r="K37" s="14">
        <v>200000</v>
      </c>
      <c r="L37" s="14">
        <f t="shared" si="14"/>
        <v>1250000</v>
      </c>
    </row>
    <row r="38" spans="1:12" ht="36.75" customHeight="1">
      <c r="A38" s="10" t="s">
        <v>264</v>
      </c>
      <c r="B38" s="11" t="s">
        <v>265</v>
      </c>
      <c r="C38" s="12" t="s">
        <v>31</v>
      </c>
      <c r="D38" s="13">
        <v>2017</v>
      </c>
      <c r="E38" s="13">
        <v>2019</v>
      </c>
      <c r="F38" s="14">
        <v>300000</v>
      </c>
      <c r="G38" s="14">
        <v>100000</v>
      </c>
      <c r="H38" s="14">
        <v>100000</v>
      </c>
      <c r="I38" s="14">
        <v>100000</v>
      </c>
      <c r="J38" s="14"/>
      <c r="K38" s="14"/>
      <c r="L38" s="14">
        <f t="shared" ref="L38" si="15">SUM(G38:K38)</f>
        <v>300000</v>
      </c>
    </row>
  </sheetData>
  <sheetProtection algorithmName="SHA-512" hashValue="E+toqc0Sb7BgvuF9To63dEKUn51oAca++CP8oXzYAv0pgDqkqmHB6D7CMlH5VgTzk+Op0zDUXFk+Bsx5MWSEgQ==" saltValue="+BRoBbt/bkyPixsqEtntVQ==" spinCount="100000" sheet="1" objects="1" scenarios="1" formatColumns="0" formatRows="0"/>
  <mergeCells count="20">
    <mergeCell ref="B24:E24"/>
    <mergeCell ref="B15:E15"/>
    <mergeCell ref="B18:E18"/>
    <mergeCell ref="B19:E19"/>
    <mergeCell ref="B20:E20"/>
    <mergeCell ref="B21:E21"/>
    <mergeCell ref="B22:E22"/>
    <mergeCell ref="B10:E10"/>
    <mergeCell ref="A1:L1"/>
    <mergeCell ref="A3:A4"/>
    <mergeCell ref="B3:B4"/>
    <mergeCell ref="C3:C4"/>
    <mergeCell ref="D3:E3"/>
    <mergeCell ref="F3:F4"/>
    <mergeCell ref="L3:L4"/>
    <mergeCell ref="B6:E6"/>
    <mergeCell ref="B7:E7"/>
    <mergeCell ref="B8:E8"/>
    <mergeCell ref="B9:E9"/>
    <mergeCell ref="G3:K3"/>
  </mergeCells>
  <pageMargins left="0.38" right="0.15748031496062992" top="1.27" bottom="0.83" header="0.61" footer="0.4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2017-01-17T11:47:37Z</cp:lastPrinted>
  <dcterms:created xsi:type="dcterms:W3CDTF">2015-10-13T07:48:25Z</dcterms:created>
  <dcterms:modified xsi:type="dcterms:W3CDTF">2017-01-17T11:47:44Z</dcterms:modified>
</cp:coreProperties>
</file>